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d.docs.live.net/98a17ae08ab793ce/Desktop/Mobi/Sample Interior/"/>
    </mc:Choice>
  </mc:AlternateContent>
  <xr:revisionPtr revIDLastSave="20" documentId="13_ncr:1_{66FA01D3-B7B3-4481-9B0A-D265FF2DA88F}" xr6:coauthVersionLast="47" xr6:coauthVersionMax="47" xr10:uidLastSave="{2FF458BC-ED42-4E8C-A5C4-8C8A4E0F25E2}"/>
  <bookViews>
    <workbookView xWindow="20370" yWindow="-120" windowWidth="29040" windowHeight="15840" xr2:uid="{00000000-000D-0000-FFFF-FFFF00000000}"/>
  </bookViews>
  <sheets>
    <sheet name="PRICE BREAKDOWN" sheetId="3" r:id="rId1"/>
  </sheets>
  <definedNames>
    <definedName name="_xlnm._FilterDatabase" localSheetId="0" hidden="1">'PRICE BREAKDOWN'!$A$7:$R$145</definedName>
    <definedName name="TotalMonthlyExpenses">SUM(#REF!)</definedName>
    <definedName name="TotalMonthlyIncome">SUM(#REF!)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5" i="3" l="1"/>
  <c r="I85" i="3" s="1"/>
  <c r="M83" i="3"/>
  <c r="N85" i="3" l="1"/>
  <c r="O85" i="3" s="1"/>
  <c r="P85" i="3" s="1"/>
  <c r="Q85" i="3" s="1"/>
  <c r="M6" i="3"/>
  <c r="F125" i="3"/>
  <c r="A125" i="3"/>
  <c r="M130" i="3" l="1"/>
  <c r="M129" i="3"/>
  <c r="M128" i="3"/>
  <c r="M127" i="3"/>
  <c r="M126" i="3"/>
  <c r="M125" i="3"/>
  <c r="N125" i="3" s="1"/>
  <c r="O125" i="3" s="1"/>
  <c r="H130" i="3"/>
  <c r="H129" i="3"/>
  <c r="H128" i="3"/>
  <c r="H127" i="3"/>
  <c r="H126" i="3"/>
  <c r="H125" i="3"/>
  <c r="I125" i="3" s="1"/>
  <c r="P125" i="3" s="1"/>
  <c r="Q125" i="3" s="1"/>
  <c r="D96" i="3"/>
  <c r="F96" i="3" s="1"/>
  <c r="N96" i="3" s="1"/>
  <c r="O96" i="3" s="1"/>
  <c r="D93" i="3"/>
  <c r="F93" i="3" s="1"/>
  <c r="I93" i="3" s="1"/>
  <c r="D92" i="3"/>
  <c r="D94" i="3" s="1"/>
  <c r="F94" i="3" s="1"/>
  <c r="D90" i="3"/>
  <c r="D87" i="3"/>
  <c r="F87" i="3" s="1"/>
  <c r="D86" i="3"/>
  <c r="D88" i="3" s="1"/>
  <c r="F88" i="3" s="1"/>
  <c r="I88" i="3" s="1"/>
  <c r="D77" i="3"/>
  <c r="F77" i="3" s="1"/>
  <c r="D74" i="3"/>
  <c r="F74" i="3" s="1"/>
  <c r="I74" i="3" s="1"/>
  <c r="D73" i="3"/>
  <c r="D75" i="3" s="1"/>
  <c r="F75" i="3" s="1"/>
  <c r="D70" i="3"/>
  <c r="F70" i="3" s="1"/>
  <c r="D67" i="3"/>
  <c r="F67" i="3" s="1"/>
  <c r="N67" i="3" s="1"/>
  <c r="O67" i="3" s="1"/>
  <c r="D66" i="3"/>
  <c r="D68" i="3" s="1"/>
  <c r="F68" i="3" s="1"/>
  <c r="D64" i="3"/>
  <c r="F64" i="3" s="1"/>
  <c r="D61" i="3"/>
  <c r="F61" i="3" s="1"/>
  <c r="D60" i="3"/>
  <c r="D62" i="3" s="1"/>
  <c r="F62" i="3" s="1"/>
  <c r="D58" i="3"/>
  <c r="F58" i="3" s="1"/>
  <c r="D55" i="3"/>
  <c r="F55" i="3" s="1"/>
  <c r="D54" i="3"/>
  <c r="D56" i="3" s="1"/>
  <c r="F56" i="3" s="1"/>
  <c r="N56" i="3" s="1"/>
  <c r="O56" i="3" s="1"/>
  <c r="M44" i="3"/>
  <c r="M43" i="3"/>
  <c r="M42" i="3"/>
  <c r="M41" i="3"/>
  <c r="M40" i="3"/>
  <c r="M39" i="3"/>
  <c r="H44" i="3"/>
  <c r="H43" i="3"/>
  <c r="H42" i="3"/>
  <c r="H41" i="3"/>
  <c r="H40" i="3"/>
  <c r="H39" i="3"/>
  <c r="H37" i="3"/>
  <c r="M37" i="3"/>
  <c r="M36" i="3"/>
  <c r="H36" i="3"/>
  <c r="A19" i="3"/>
  <c r="A20" i="3"/>
  <c r="A21" i="3"/>
  <c r="A22" i="3"/>
  <c r="A23" i="3"/>
  <c r="A26" i="3"/>
  <c r="A28" i="3"/>
  <c r="A31" i="3"/>
  <c r="A32" i="3"/>
  <c r="A33" i="3"/>
  <c r="A34" i="3"/>
  <c r="A35" i="3"/>
  <c r="A38" i="3"/>
  <c r="A45" i="3"/>
  <c r="A48" i="3"/>
  <c r="A49" i="3"/>
  <c r="A50" i="3"/>
  <c r="A51" i="3"/>
  <c r="A52" i="3"/>
  <c r="A71" i="3"/>
  <c r="A97" i="3"/>
  <c r="A102" i="3"/>
  <c r="A107" i="3"/>
  <c r="A109" i="3"/>
  <c r="A110" i="3"/>
  <c r="A112" i="3"/>
  <c r="A113" i="3"/>
  <c r="A116" i="3"/>
  <c r="A119" i="3"/>
  <c r="A121" i="3"/>
  <c r="A122" i="3"/>
  <c r="A124" i="3"/>
  <c r="A131" i="3"/>
  <c r="A134" i="3"/>
  <c r="A135" i="3"/>
  <c r="F18" i="3"/>
  <c r="N18" i="3" s="1"/>
  <c r="O18" i="3" s="1"/>
  <c r="F17" i="3"/>
  <c r="F16" i="3"/>
  <c r="I16" i="3" s="1"/>
  <c r="F15" i="3"/>
  <c r="I15" i="3" s="1"/>
  <c r="F14" i="3"/>
  <c r="N14" i="3" s="1"/>
  <c r="O14" i="3" s="1"/>
  <c r="F13" i="3"/>
  <c r="N13" i="3" s="1"/>
  <c r="O13" i="3" s="1"/>
  <c r="F12" i="3"/>
  <c r="F11" i="3"/>
  <c r="N11" i="3" s="1"/>
  <c r="O11" i="3" s="1"/>
  <c r="F10" i="3"/>
  <c r="N10" i="3" s="1"/>
  <c r="O10" i="3" s="1"/>
  <c r="F9" i="3"/>
  <c r="I9" i="3" s="1"/>
  <c r="F106" i="3"/>
  <c r="I106" i="3" s="1"/>
  <c r="F101" i="3"/>
  <c r="F111" i="3"/>
  <c r="F100" i="3"/>
  <c r="I100" i="3" s="1"/>
  <c r="F72" i="3"/>
  <c r="N72" i="3" s="1"/>
  <c r="O72" i="3" s="1"/>
  <c r="F91" i="3"/>
  <c r="F59" i="3"/>
  <c r="N59" i="3" s="1"/>
  <c r="O59" i="3" s="1"/>
  <c r="F65" i="3"/>
  <c r="I65" i="3" s="1"/>
  <c r="F30" i="3"/>
  <c r="N30" i="3" s="1"/>
  <c r="O30" i="3" s="1"/>
  <c r="F29" i="3"/>
  <c r="I29" i="3" s="1"/>
  <c r="F27" i="3"/>
  <c r="F25" i="3"/>
  <c r="F24" i="3"/>
  <c r="N24" i="3" s="1"/>
  <c r="O24" i="3" s="1"/>
  <c r="F104" i="3"/>
  <c r="F105" i="3"/>
  <c r="I105" i="3" s="1"/>
  <c r="F133" i="3"/>
  <c r="N133" i="3" s="1"/>
  <c r="O133" i="3" s="1"/>
  <c r="F132" i="3"/>
  <c r="I132" i="3" s="1"/>
  <c r="F130" i="3"/>
  <c r="F129" i="3"/>
  <c r="F128" i="3"/>
  <c r="F127" i="3"/>
  <c r="F126" i="3"/>
  <c r="F123" i="3"/>
  <c r="N123" i="3" s="1"/>
  <c r="O123" i="3" s="1"/>
  <c r="F120" i="3"/>
  <c r="N120" i="3" s="1"/>
  <c r="O120" i="3" s="1"/>
  <c r="F118" i="3"/>
  <c r="I118" i="3" s="1"/>
  <c r="F117" i="3"/>
  <c r="F115" i="3"/>
  <c r="F114" i="3"/>
  <c r="N114" i="3" s="1"/>
  <c r="O114" i="3" s="1"/>
  <c r="F108" i="3"/>
  <c r="N108" i="3" s="1"/>
  <c r="O108" i="3" s="1"/>
  <c r="F103" i="3"/>
  <c r="N103" i="3" s="1"/>
  <c r="O103" i="3" s="1"/>
  <c r="F99" i="3"/>
  <c r="I99" i="3" s="1"/>
  <c r="F98" i="3"/>
  <c r="F53" i="3"/>
  <c r="I53" i="3" s="1"/>
  <c r="F47" i="3"/>
  <c r="F46" i="3"/>
  <c r="N46" i="3" s="1"/>
  <c r="O46" i="3" s="1"/>
  <c r="F44" i="3"/>
  <c r="I44" i="3" s="1"/>
  <c r="F43" i="3"/>
  <c r="F42" i="3"/>
  <c r="N42" i="3" s="1"/>
  <c r="O42" i="3" s="1"/>
  <c r="F41" i="3"/>
  <c r="F40" i="3"/>
  <c r="I40" i="3" s="1"/>
  <c r="F39" i="3"/>
  <c r="F37" i="3"/>
  <c r="F36" i="3"/>
  <c r="N36" i="3" s="1"/>
  <c r="O36" i="3" s="1"/>
  <c r="A10" i="3"/>
  <c r="R19" i="3"/>
  <c r="D69" i="3" l="1"/>
  <c r="F69" i="3" s="1"/>
  <c r="I123" i="3"/>
  <c r="I41" i="3"/>
  <c r="I14" i="3"/>
  <c r="P14" i="3" s="1"/>
  <c r="N43" i="3"/>
  <c r="O43" i="3" s="1"/>
  <c r="F66" i="3"/>
  <c r="N99" i="3"/>
  <c r="O99" i="3" s="1"/>
  <c r="P99" i="3" s="1"/>
  <c r="Q99" i="3" s="1"/>
  <c r="F92" i="3"/>
  <c r="D95" i="3"/>
  <c r="F95" i="3" s="1"/>
  <c r="N95" i="3" s="1"/>
  <c r="O95" i="3" s="1"/>
  <c r="N88" i="3"/>
  <c r="O88" i="3" s="1"/>
  <c r="P88" i="3" s="1"/>
  <c r="Q88" i="3" s="1"/>
  <c r="I42" i="3"/>
  <c r="P42" i="3" s="1"/>
  <c r="Q42" i="3" s="1"/>
  <c r="I11" i="3"/>
  <c r="P11" i="3" s="1"/>
  <c r="D63" i="3"/>
  <c r="F63" i="3" s="1"/>
  <c r="I63" i="3" s="1"/>
  <c r="I126" i="3"/>
  <c r="I130" i="3"/>
  <c r="I46" i="3"/>
  <c r="P46" i="3" s="1"/>
  <c r="Q46" i="3" s="1"/>
  <c r="N9" i="3"/>
  <c r="O9" i="3" s="1"/>
  <c r="P9" i="3" s="1"/>
  <c r="I133" i="3"/>
  <c r="P133" i="3" s="1"/>
  <c r="Q133" i="3" s="1"/>
  <c r="N126" i="3"/>
  <c r="O126" i="3" s="1"/>
  <c r="N130" i="3"/>
  <c r="O130" i="3" s="1"/>
  <c r="F54" i="3"/>
  <c r="F73" i="3"/>
  <c r="I18" i="3"/>
  <c r="P18" i="3" s="1"/>
  <c r="D57" i="3"/>
  <c r="F57" i="3" s="1"/>
  <c r="I57" i="3" s="1"/>
  <c r="I96" i="3"/>
  <c r="P96" i="3" s="1"/>
  <c r="Q96" i="3" s="1"/>
  <c r="I120" i="3"/>
  <c r="P120" i="3" s="1"/>
  <c r="Q120" i="3" s="1"/>
  <c r="I30" i="3"/>
  <c r="P30" i="3" s="1"/>
  <c r="Q30" i="3" s="1"/>
  <c r="I127" i="3"/>
  <c r="I24" i="3"/>
  <c r="P24" i="3" s="1"/>
  <c r="Q24" i="3" s="1"/>
  <c r="I59" i="3"/>
  <c r="P59" i="3" s="1"/>
  <c r="Q59" i="3" s="1"/>
  <c r="I10" i="3"/>
  <c r="P10" i="3" s="1"/>
  <c r="N65" i="3"/>
  <c r="O65" i="3" s="1"/>
  <c r="P65" i="3" s="1"/>
  <c r="Q65" i="3" s="1"/>
  <c r="N40" i="3"/>
  <c r="O40" i="3" s="1"/>
  <c r="P40" i="3" s="1"/>
  <c r="Q40" i="3" s="1"/>
  <c r="N44" i="3"/>
  <c r="O44" i="3" s="1"/>
  <c r="P44" i="3" s="1"/>
  <c r="Q44" i="3" s="1"/>
  <c r="N118" i="3"/>
  <c r="O118" i="3" s="1"/>
  <c r="P118" i="3" s="1"/>
  <c r="Q118" i="3" s="1"/>
  <c r="N105" i="3"/>
  <c r="O105" i="3" s="1"/>
  <c r="P105" i="3" s="1"/>
  <c r="Q105" i="3" s="1"/>
  <c r="I13" i="3"/>
  <c r="P13" i="3" s="1"/>
  <c r="N74" i="3"/>
  <c r="O74" i="3" s="1"/>
  <c r="P74" i="3" s="1"/>
  <c r="Q74" i="3" s="1"/>
  <c r="I36" i="3"/>
  <c r="P36" i="3" s="1"/>
  <c r="Q36" i="3" s="1"/>
  <c r="N53" i="3"/>
  <c r="O53" i="3" s="1"/>
  <c r="P53" i="3" s="1"/>
  <c r="Q53" i="3" s="1"/>
  <c r="N29" i="3"/>
  <c r="O29" i="3" s="1"/>
  <c r="P29" i="3" s="1"/>
  <c r="Q29" i="3" s="1"/>
  <c r="N93" i="3"/>
  <c r="O93" i="3" s="1"/>
  <c r="P93" i="3" s="1"/>
  <c r="Q93" i="3" s="1"/>
  <c r="I72" i="3"/>
  <c r="P72" i="3" s="1"/>
  <c r="Q72" i="3" s="1"/>
  <c r="F60" i="3"/>
  <c r="I67" i="3"/>
  <c r="P67" i="3" s="1"/>
  <c r="Q67" i="3" s="1"/>
  <c r="I104" i="3"/>
  <c r="N104" i="3"/>
  <c r="O104" i="3" s="1"/>
  <c r="I43" i="3"/>
  <c r="I111" i="3"/>
  <c r="N111" i="3"/>
  <c r="O111" i="3" s="1"/>
  <c r="I77" i="3"/>
  <c r="N77" i="3"/>
  <c r="O77" i="3" s="1"/>
  <c r="I103" i="3"/>
  <c r="P103" i="3" s="1"/>
  <c r="Q103" i="3" s="1"/>
  <c r="N16" i="3"/>
  <c r="O16" i="3" s="1"/>
  <c r="P16" i="3" s="1"/>
  <c r="D76" i="3"/>
  <c r="F76" i="3" s="1"/>
  <c r="D89" i="3"/>
  <c r="F89" i="3" s="1"/>
  <c r="I89" i="3" s="1"/>
  <c r="N127" i="3"/>
  <c r="O127" i="3" s="1"/>
  <c r="P123" i="3"/>
  <c r="Q123" i="3" s="1"/>
  <c r="N132" i="3"/>
  <c r="O132" i="3" s="1"/>
  <c r="P132" i="3" s="1"/>
  <c r="Q132" i="3" s="1"/>
  <c r="N41" i="3"/>
  <c r="O41" i="3" s="1"/>
  <c r="N106" i="3"/>
  <c r="O106" i="3" s="1"/>
  <c r="P106" i="3" s="1"/>
  <c r="Q106" i="3" s="1"/>
  <c r="I17" i="3"/>
  <c r="N17" i="3"/>
  <c r="O17" i="3" s="1"/>
  <c r="I62" i="3"/>
  <c r="N62" i="3"/>
  <c r="O62" i="3" s="1"/>
  <c r="F90" i="3"/>
  <c r="N91" i="3"/>
  <c r="O91" i="3" s="1"/>
  <c r="I91" i="3"/>
  <c r="I12" i="3"/>
  <c r="N12" i="3"/>
  <c r="O12" i="3" s="1"/>
  <c r="I75" i="3"/>
  <c r="N75" i="3"/>
  <c r="O75" i="3" s="1"/>
  <c r="N37" i="3"/>
  <c r="O37" i="3" s="1"/>
  <c r="I37" i="3"/>
  <c r="N47" i="3"/>
  <c r="O47" i="3" s="1"/>
  <c r="I47" i="3"/>
  <c r="N115" i="3"/>
  <c r="O115" i="3" s="1"/>
  <c r="I115" i="3"/>
  <c r="I128" i="3"/>
  <c r="N128" i="3"/>
  <c r="O128" i="3" s="1"/>
  <c r="N39" i="3"/>
  <c r="O39" i="3" s="1"/>
  <c r="I39" i="3"/>
  <c r="N117" i="3"/>
  <c r="O117" i="3" s="1"/>
  <c r="I117" i="3"/>
  <c r="I129" i="3"/>
  <c r="N129" i="3"/>
  <c r="O129" i="3" s="1"/>
  <c r="N27" i="3"/>
  <c r="O27" i="3" s="1"/>
  <c r="I27" i="3"/>
  <c r="I108" i="3"/>
  <c r="P108" i="3" s="1"/>
  <c r="Q108" i="3" s="1"/>
  <c r="N100" i="3"/>
  <c r="O100" i="3" s="1"/>
  <c r="P100" i="3" s="1"/>
  <c r="Q100" i="3" s="1"/>
  <c r="N87" i="3"/>
  <c r="O87" i="3" s="1"/>
  <c r="I87" i="3"/>
  <c r="A11" i="3"/>
  <c r="N61" i="3"/>
  <c r="O61" i="3" s="1"/>
  <c r="I61" i="3"/>
  <c r="I98" i="3"/>
  <c r="N98" i="3"/>
  <c r="O98" i="3" s="1"/>
  <c r="I114" i="3"/>
  <c r="P114" i="3" s="1"/>
  <c r="Q114" i="3" s="1"/>
  <c r="N25" i="3"/>
  <c r="O25" i="3" s="1"/>
  <c r="I25" i="3"/>
  <c r="N101" i="3"/>
  <c r="O101" i="3" s="1"/>
  <c r="I101" i="3"/>
  <c r="I94" i="3"/>
  <c r="N94" i="3"/>
  <c r="O94" i="3" s="1"/>
  <c r="N15" i="3"/>
  <c r="O15" i="3" s="1"/>
  <c r="P15" i="3" s="1"/>
  <c r="I56" i="3"/>
  <c r="P56" i="3" s="1"/>
  <c r="Q56" i="3" s="1"/>
  <c r="I69" i="3"/>
  <c r="N69" i="3"/>
  <c r="O69" i="3" s="1"/>
  <c r="I64" i="3"/>
  <c r="N64" i="3"/>
  <c r="O64" i="3" s="1"/>
  <c r="I55" i="3"/>
  <c r="N55" i="3"/>
  <c r="O55" i="3" s="1"/>
  <c r="N68" i="3"/>
  <c r="O68" i="3" s="1"/>
  <c r="I68" i="3"/>
  <c r="I58" i="3"/>
  <c r="N58" i="3"/>
  <c r="O58" i="3" s="1"/>
  <c r="I70" i="3"/>
  <c r="N70" i="3"/>
  <c r="O70" i="3" s="1"/>
  <c r="F86" i="3"/>
  <c r="P41" i="3" l="1"/>
  <c r="Q41" i="3" s="1"/>
  <c r="P127" i="3"/>
  <c r="Q127" i="3" s="1"/>
  <c r="P43" i="3"/>
  <c r="Q43" i="3" s="1"/>
  <c r="P126" i="3"/>
  <c r="Q126" i="3" s="1"/>
  <c r="I95" i="3"/>
  <c r="P95" i="3" s="1"/>
  <c r="Q95" i="3" s="1"/>
  <c r="P130" i="3"/>
  <c r="Q130" i="3" s="1"/>
  <c r="N63" i="3"/>
  <c r="O63" i="3" s="1"/>
  <c r="P63" i="3" s="1"/>
  <c r="Q63" i="3" s="1"/>
  <c r="P111" i="3"/>
  <c r="Q111" i="3" s="1"/>
  <c r="N57" i="3"/>
  <c r="O57" i="3" s="1"/>
  <c r="P57" i="3" s="1"/>
  <c r="Q57" i="3" s="1"/>
  <c r="P27" i="3"/>
  <c r="Q27" i="3" s="1"/>
  <c r="P117" i="3"/>
  <c r="Q117" i="3" s="1"/>
  <c r="P39" i="3"/>
  <c r="Q39" i="3" s="1"/>
  <c r="I19" i="3"/>
  <c r="P17" i="3"/>
  <c r="O48" i="3"/>
  <c r="P64" i="3"/>
  <c r="Q64" i="3" s="1"/>
  <c r="P129" i="3"/>
  <c r="Q129" i="3" s="1"/>
  <c r="P77" i="3"/>
  <c r="Q77" i="3" s="1"/>
  <c r="P87" i="3"/>
  <c r="Q87" i="3" s="1"/>
  <c r="N76" i="3"/>
  <c r="O76" i="3" s="1"/>
  <c r="I76" i="3"/>
  <c r="P55" i="3"/>
  <c r="Q55" i="3" s="1"/>
  <c r="P61" i="3"/>
  <c r="Q61" i="3" s="1"/>
  <c r="P47" i="3"/>
  <c r="Q47" i="3" s="1"/>
  <c r="P91" i="3"/>
  <c r="Q91" i="3" s="1"/>
  <c r="N89" i="3"/>
  <c r="O89" i="3" s="1"/>
  <c r="P89" i="3" s="1"/>
  <c r="Q89" i="3" s="1"/>
  <c r="P68" i="3"/>
  <c r="Q68" i="3" s="1"/>
  <c r="P101" i="3"/>
  <c r="Q101" i="3" s="1"/>
  <c r="O31" i="3"/>
  <c r="O19" i="3"/>
  <c r="P104" i="3"/>
  <c r="Q104" i="3" s="1"/>
  <c r="P75" i="3"/>
  <c r="Q75" i="3" s="1"/>
  <c r="P70" i="3"/>
  <c r="Q70" i="3" s="1"/>
  <c r="P62" i="3"/>
  <c r="Q62" i="3" s="1"/>
  <c r="P69" i="3"/>
  <c r="Q69" i="3" s="1"/>
  <c r="P58" i="3"/>
  <c r="Q58" i="3" s="1"/>
  <c r="P94" i="3"/>
  <c r="Q94" i="3" s="1"/>
  <c r="P25" i="3"/>
  <c r="Q25" i="3" s="1"/>
  <c r="A12" i="3"/>
  <c r="I90" i="3"/>
  <c r="N90" i="3"/>
  <c r="O90" i="3" s="1"/>
  <c r="P98" i="3"/>
  <c r="Q98" i="3" s="1"/>
  <c r="P128" i="3"/>
  <c r="Q128" i="3" s="1"/>
  <c r="P12" i="3"/>
  <c r="I48" i="3"/>
  <c r="P37" i="3"/>
  <c r="Q37" i="3" s="1"/>
  <c r="P115" i="3"/>
  <c r="Q115" i="3" s="1"/>
  <c r="I31" i="3"/>
  <c r="R48" i="3" l="1"/>
  <c r="R31" i="3"/>
  <c r="P76" i="3"/>
  <c r="Q76" i="3" s="1"/>
  <c r="O134" i="3"/>
  <c r="P90" i="3"/>
  <c r="Q90" i="3" s="1"/>
  <c r="I134" i="3"/>
  <c r="A13" i="3"/>
  <c r="R134" i="3" l="1"/>
  <c r="I136" i="3"/>
  <c r="R140" i="3" s="1"/>
  <c r="R136" i="3"/>
  <c r="A14" i="3"/>
  <c r="A15" i="3" s="1"/>
  <c r="A16" i="3" l="1"/>
  <c r="R137" i="3"/>
  <c r="R139" i="3"/>
  <c r="R138" i="3"/>
  <c r="R141" i="3" l="1"/>
  <c r="A17" i="3"/>
  <c r="A18" i="3" l="1"/>
  <c r="A24" i="3" l="1"/>
  <c r="A25" i="3" s="1"/>
  <c r="A27" i="3" s="1"/>
  <c r="A29" i="3" s="1"/>
  <c r="A30" i="3" s="1"/>
  <c r="A36" i="3" s="1"/>
  <c r="A37" i="3" s="1"/>
  <c r="A39" i="3" s="1"/>
  <c r="A40" i="3" s="1"/>
  <c r="A41" i="3" s="1"/>
  <c r="A42" i="3" s="1"/>
  <c r="A43" i="3" s="1"/>
  <c r="A44" i="3" s="1"/>
  <c r="A46" i="3" s="1"/>
  <c r="A47" i="3" s="1"/>
  <c r="A53" i="3" s="1"/>
  <c r="A54" i="3" s="1"/>
  <c r="A55" i="3" s="1"/>
  <c r="A56" i="3" s="1"/>
  <c r="A57" i="3" s="1"/>
  <c r="A58" i="3" s="1"/>
  <c r="A59" i="3" s="1"/>
  <c r="A60" i="3" s="1"/>
  <c r="A61" i="3" s="1"/>
  <c r="A62" i="3" s="1"/>
  <c r="A63" i="3" s="1"/>
  <c r="A64" i="3" s="1"/>
  <c r="A65" i="3" s="1"/>
  <c r="A66" i="3" s="1"/>
  <c r="A67" i="3" s="1"/>
  <c r="A68" i="3" s="1"/>
  <c r="A69" i="3" s="1"/>
  <c r="A70" i="3" s="1"/>
  <c r="A72" i="3" s="1"/>
  <c r="A73" i="3" s="1"/>
  <c r="A74" i="3" s="1"/>
  <c r="A75" i="3" s="1"/>
  <c r="A76" i="3" s="1"/>
  <c r="A77" i="3" s="1"/>
  <c r="A86" i="3" s="1"/>
  <c r="A87" i="3" s="1"/>
  <c r="A88" i="3" s="1"/>
  <c r="A89" i="3" s="1"/>
  <c r="A90" i="3" s="1"/>
  <c r="A91" i="3" s="1"/>
  <c r="A92" i="3" s="1"/>
  <c r="A93" i="3" s="1"/>
  <c r="A94" i="3" s="1"/>
  <c r="A95" i="3" s="1"/>
  <c r="A96" i="3" s="1"/>
  <c r="A98" i="3" s="1"/>
  <c r="A99" i="3" s="1"/>
  <c r="A100" i="3" s="1"/>
  <c r="A101" i="3" s="1"/>
  <c r="A103" i="3" s="1"/>
  <c r="A104" i="3" s="1"/>
  <c r="A105" i="3" s="1"/>
  <c r="A106" i="3" s="1"/>
  <c r="A108" i="3" s="1"/>
  <c r="A111" i="3" s="1"/>
  <c r="A114" i="3" s="1"/>
  <c r="A115" i="3" s="1"/>
  <c r="A117" i="3" s="1"/>
  <c r="A118" i="3" s="1"/>
  <c r="A120" i="3" s="1"/>
  <c r="A123" i="3" s="1"/>
  <c r="A127" i="3" l="1"/>
  <c r="A132" i="3"/>
  <c r="A126" i="3"/>
  <c r="A130" i="3"/>
  <c r="A128" i="3"/>
  <c r="A129" i="3"/>
  <c r="A133" i="3"/>
</calcChain>
</file>

<file path=xl/sharedStrings.xml><?xml version="1.0" encoding="utf-8"?>
<sst xmlns="http://schemas.openxmlformats.org/spreadsheetml/2006/main" count="350" uniqueCount="137">
  <si>
    <t xml:space="preserve">   Date:</t>
  </si>
  <si>
    <t>DESCRIPTION</t>
  </si>
  <si>
    <t>TOTAL MAT COST</t>
  </si>
  <si>
    <t>TOTAL LABOR COST</t>
  </si>
  <si>
    <t>TOTAL COST</t>
  </si>
  <si>
    <t>2. This sheet is your property and we encourage you to fine tune the wastage and pricing values to your preference.</t>
  </si>
  <si>
    <t>E-MAIL ADDRESS:</t>
  </si>
  <si>
    <t>PHONE NUMBER:</t>
  </si>
  <si>
    <t>ITEM #</t>
  </si>
  <si>
    <t>QUANTITY</t>
  </si>
  <si>
    <t>WASTAGE</t>
  </si>
  <si>
    <t>QTY W/WASTAGE</t>
  </si>
  <si>
    <t>UNIT</t>
  </si>
  <si>
    <t>UNIT COST</t>
  </si>
  <si>
    <t>TRADE  COST</t>
  </si>
  <si>
    <t>GENERAL REQUIREMENTS</t>
  </si>
  <si>
    <t>LS</t>
  </si>
  <si>
    <t>Bonds</t>
  </si>
  <si>
    <t>Subtotal (General Requirements)</t>
  </si>
  <si>
    <t>Subtotal (Openings)</t>
  </si>
  <si>
    <t>Subtotal (Finishes)</t>
  </si>
  <si>
    <t>SUBTOTAL</t>
  </si>
  <si>
    <t>TOTAL BASE BID</t>
  </si>
  <si>
    <t>Note:</t>
  </si>
  <si>
    <t>MAT COST</t>
  </si>
  <si>
    <t>LABOR COST</t>
  </si>
  <si>
    <t>Project Manager</t>
  </si>
  <si>
    <t>Field Superintendent</t>
  </si>
  <si>
    <t>Permitting</t>
  </si>
  <si>
    <t>Mobilization Cost</t>
  </si>
  <si>
    <t>Temp Fencing, Toilets, Utilities</t>
  </si>
  <si>
    <t>Jobsite Signage, Trailer, Security</t>
  </si>
  <si>
    <t>Dumpsters, Tools</t>
  </si>
  <si>
    <t>Clean-up</t>
  </si>
  <si>
    <t>Procore, Web Cameras</t>
  </si>
  <si>
    <t>TOTAL MAT COST:</t>
  </si>
  <si>
    <t>PER HOUR LABOR WAGE</t>
  </si>
  <si>
    <t>LABOR FACTOR</t>
  </si>
  <si>
    <t>TOTAL LABOR HOURS</t>
  </si>
  <si>
    <t>3. Feel free to contact us for any queries or suggestions.</t>
  </si>
  <si>
    <t>TYPE OF LABOR</t>
  </si>
  <si>
    <t>NO. OF LABORS</t>
  </si>
  <si>
    <t>CARP</t>
  </si>
  <si>
    <t>OVERHEADS &amp; PROFITS</t>
  </si>
  <si>
    <t>INSURANCES</t>
  </si>
  <si>
    <t>CONTIGENCY</t>
  </si>
  <si>
    <t xml:space="preserve">Doors </t>
  </si>
  <si>
    <t>1. This estimate is based on real market prices that are regularly updated by our team persons through market surveys and online resources, we still encourage our clients to put their own.</t>
  </si>
  <si>
    <t>EA</t>
  </si>
  <si>
    <t xml:space="preserve">Doors Hardware </t>
  </si>
  <si>
    <t>LF</t>
  </si>
  <si>
    <t xml:space="preserve">Dry Wall </t>
  </si>
  <si>
    <t>SF</t>
  </si>
  <si>
    <t>Flooring</t>
  </si>
  <si>
    <t xml:space="preserve">Paint </t>
  </si>
  <si>
    <t>Wall Paint</t>
  </si>
  <si>
    <t>Ceiling Paint</t>
  </si>
  <si>
    <t>Exterior Finishes</t>
  </si>
  <si>
    <t>Doors Paint</t>
  </si>
  <si>
    <t>Doors Trims Paint</t>
  </si>
  <si>
    <t>Window Trim Paint</t>
  </si>
  <si>
    <t>Mill Work</t>
  </si>
  <si>
    <t>Subtotal (Wood Plastic &amp; Composite)</t>
  </si>
  <si>
    <t>Wood Plastic &amp; Composite</t>
  </si>
  <si>
    <t>WEBSITE:</t>
  </si>
  <si>
    <t>Base Cabinet</t>
  </si>
  <si>
    <t>Upper Cabinet</t>
  </si>
  <si>
    <t>Shelving</t>
  </si>
  <si>
    <t>Walls</t>
  </si>
  <si>
    <t>Exterior Doors</t>
  </si>
  <si>
    <t>Interior Doors</t>
  </si>
  <si>
    <t xml:space="preserve">5/8" Thk. Gypsum Board At Walls </t>
  </si>
  <si>
    <t>No. Of Sheets</t>
  </si>
  <si>
    <t xml:space="preserve">Adhesive </t>
  </si>
  <si>
    <t>Drywall Screws</t>
  </si>
  <si>
    <t>Mud Plaster</t>
  </si>
  <si>
    <t>TUBES</t>
  </si>
  <si>
    <t>LBS</t>
  </si>
  <si>
    <t xml:space="preserve">5/8" Thk. Moisture Board At Walls </t>
  </si>
  <si>
    <t xml:space="preserve">5/8" Thk. Cementitious Backer Board At Walls </t>
  </si>
  <si>
    <t>Ceiling</t>
  </si>
  <si>
    <t xml:space="preserve">5/8" Thk. Gypsum Board At Ceiling </t>
  </si>
  <si>
    <t xml:space="preserve">5/8" Thk. Moisture Board At Ceiling </t>
  </si>
  <si>
    <r>
      <t xml:space="preserve">5/8" Thk. </t>
    </r>
    <r>
      <rPr>
        <b/>
        <sz val="12"/>
        <rFont val="Calibri"/>
        <family val="2"/>
        <scheme val="minor"/>
      </rPr>
      <t>"Type X"</t>
    </r>
    <r>
      <rPr>
        <sz val="12"/>
        <rFont val="Calibri"/>
        <family val="2"/>
        <scheme val="minor"/>
      </rPr>
      <t xml:space="preserve"> Gypsum Board At Garage Ceiling </t>
    </r>
  </si>
  <si>
    <t>Sealed Concrete Flooring</t>
  </si>
  <si>
    <t>Base</t>
  </si>
  <si>
    <t>Transition</t>
  </si>
  <si>
    <t>Transition Strip From Hardwood To Ceramic Tile Base</t>
  </si>
  <si>
    <t xml:space="preserve">Wall Finishes </t>
  </si>
  <si>
    <t>Wall Tile</t>
  </si>
  <si>
    <t>Ceramic Wall Tile</t>
  </si>
  <si>
    <t>One Coat Of Primer With Two Coats Of Paint At Walls</t>
  </si>
  <si>
    <t>One Coat Of Primer With Two Coats Of Paint At Ceiling</t>
  </si>
  <si>
    <t>Exterior Doors Paint</t>
  </si>
  <si>
    <t>Interior Doors Paint</t>
  </si>
  <si>
    <t>Trim Paint</t>
  </si>
  <si>
    <t>Stucco Paint</t>
  </si>
  <si>
    <t>DWG REF./
CSI SEC.</t>
  </si>
  <si>
    <t>DIV. 01</t>
  </si>
  <si>
    <t>DIV. 06</t>
  </si>
  <si>
    <t>OPENINGS</t>
  </si>
  <si>
    <t>DIV. 08</t>
  </si>
  <si>
    <t>DIV. 09</t>
  </si>
  <si>
    <t>FINISHES</t>
  </si>
  <si>
    <t>Taping 500</t>
  </si>
  <si>
    <t>4x8 No. Of Sheets</t>
  </si>
  <si>
    <t>1'-8" Deep Base Cabinet At Bath</t>
  </si>
  <si>
    <t>2'-0" Deep Base Cabinet At Kitchen</t>
  </si>
  <si>
    <t>1'-0" Deep Upper Cabinet At Kitchen</t>
  </si>
  <si>
    <t>1'-0" Deep Shelving At Linen</t>
  </si>
  <si>
    <t>1'-0" Deep Shelving Cabinet At Closet</t>
  </si>
  <si>
    <t xml:space="preserve">16'-0" x 7'-0" Garage Door </t>
  </si>
  <si>
    <t xml:space="preserve">3'-0" x 6'-8" Hollow Metal Door W/ Frame </t>
  </si>
  <si>
    <t xml:space="preserve">2'-6" x 6'-8" Wood Door W/Frame </t>
  </si>
  <si>
    <t xml:space="preserve">2'-8" x 6'-8" Wood Door W/Frame </t>
  </si>
  <si>
    <t xml:space="preserve">2'-0" x 6'-8" Wood Door W/Frame </t>
  </si>
  <si>
    <t>2'-0" x 6'-8" Single Sliding Door W/Frame</t>
  </si>
  <si>
    <t>3'-0" x 6'-8" Single Sliding Door W/Frame</t>
  </si>
  <si>
    <t>4'-0" x 6'-8" Double  Sliding Door W/Frame</t>
  </si>
  <si>
    <t>Allowance Provided For Exterior Doors Hardware</t>
  </si>
  <si>
    <t>Allowance Provided For Interior Doors Hardware</t>
  </si>
  <si>
    <t>Vynal Carpet Flooring</t>
  </si>
  <si>
    <t>Wood Flooring</t>
  </si>
  <si>
    <t>Tile  Flooring</t>
  </si>
  <si>
    <t>4"Rubber Base</t>
  </si>
  <si>
    <t xml:space="preserve">4"Cove Base </t>
  </si>
  <si>
    <t>4"Wood  Base</t>
  </si>
  <si>
    <t xml:space="preserve">4" Tile Base </t>
  </si>
  <si>
    <t>One Coat Of Primer With Two Coats Of Paint At Moisture Resistant Ceiling</t>
  </si>
  <si>
    <t>One Coat Of Primer With Two Coats Of Paint At Moisture Walls</t>
  </si>
  <si>
    <t>4,7,8</t>
  </si>
  <si>
    <t>SCOPE: GC</t>
  </si>
  <si>
    <t>TAX</t>
  </si>
  <si>
    <t>-</t>
  </si>
  <si>
    <t>DRYWALLER</t>
  </si>
  <si>
    <t>TILF</t>
  </si>
  <si>
    <t>PAINTER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</si>
</sst>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mm/dd/yy;@"/>
    <numFmt numFmtId="165" formatCode="0.0%"/>
    <numFmt numFmtId="166" formatCode="&quot;$&quot;#,##0"/>
    <numFmt numFmtId="167" formatCode="&quot;$&quot;#,##0.00"/>
    <numFmt numFmtId="168" formatCode="0.000"/>
    <numFmt numFmtId="169" formatCode="&quot;$&quot;#,##0.0"/>
    <numFmt numFmtId="170" formatCode="_-[$$-409]* #,##0.00_ ;_-[$$-409]* \-#,##0.00\ ;_-[$$-409]* &quot;-&quot;??_ ;_-@_ "/>
  </numFmts>
  <fonts count="27">
    <font>
      <sz val="11"/>
      <color theme="1"/>
      <name val="Calibri"/>
      <family val="2"/>
      <scheme val="minor"/>
    </font>
    <font>
      <sz val="12"/>
      <name val="Arial"/>
      <family val="2"/>
    </font>
    <font>
      <b/>
      <sz val="12"/>
      <name val="Arial"/>
      <family val="2"/>
    </font>
    <font>
      <sz val="12"/>
      <name val="Calibri"/>
      <family val="2"/>
      <scheme val="minor"/>
    </font>
    <font>
      <b/>
      <sz val="12"/>
      <color theme="1"/>
      <name val="Calibri"/>
      <family val="2"/>
      <scheme val="minor"/>
    </font>
    <font>
      <b/>
      <sz val="12"/>
      <name val="Calibri"/>
      <family val="2"/>
      <scheme val="minor"/>
    </font>
    <font>
      <sz val="12"/>
      <color theme="1"/>
      <name val="Calibri"/>
      <family val="2"/>
      <scheme val="minor"/>
    </font>
    <font>
      <u/>
      <sz val="12"/>
      <color theme="1"/>
      <name val="Calibri"/>
      <family val="2"/>
      <scheme val="minor"/>
    </font>
    <font>
      <b/>
      <u/>
      <sz val="12"/>
      <color theme="1"/>
      <name val="Calibri"/>
      <family val="2"/>
      <scheme val="minor"/>
    </font>
    <font>
      <sz val="12"/>
      <name val="Adobe Gothic Std B"/>
      <family val="2"/>
      <charset val="128"/>
    </font>
    <font>
      <sz val="12"/>
      <color theme="1"/>
      <name val="Adobe Gothic Std B"/>
      <family val="2"/>
      <charset val="128"/>
    </font>
    <font>
      <b/>
      <sz val="12"/>
      <color rgb="FF0000B3"/>
      <name val="Adobe Gothic Std B"/>
      <family val="2"/>
      <charset val="128"/>
    </font>
    <font>
      <b/>
      <sz val="12"/>
      <name val="Adobe Gothic Std B"/>
      <family val="2"/>
      <charset val="128"/>
    </font>
    <font>
      <b/>
      <sz val="12"/>
      <color theme="1"/>
      <name val="Adobe Gothic Std B"/>
      <family val="2"/>
      <charset val="128"/>
    </font>
    <font>
      <b/>
      <sz val="12"/>
      <color theme="0"/>
      <name val="Calibri"/>
      <family val="2"/>
      <scheme val="minor"/>
    </font>
    <font>
      <sz val="12"/>
      <color theme="0"/>
      <name val="Calibri"/>
      <family val="2"/>
      <scheme val="minor"/>
    </font>
    <font>
      <sz val="12"/>
      <color rgb="FF0000B3"/>
      <name val="Calibri"/>
      <family val="2"/>
      <scheme val="minor"/>
    </font>
    <font>
      <sz val="12"/>
      <color rgb="FF0000B3"/>
      <name val="Adobe Gothic Std B"/>
      <family val="2"/>
      <charset val="128"/>
    </font>
    <font>
      <b/>
      <sz val="12"/>
      <color rgb="FFFF0000"/>
      <name val="Calibri"/>
      <family val="2"/>
      <scheme val="minor"/>
    </font>
    <font>
      <sz val="10"/>
      <color theme="1" tint="4.9989318521683403E-2"/>
      <name val="Calibri"/>
      <family val="1"/>
      <scheme val="minor"/>
    </font>
    <font>
      <b/>
      <sz val="12"/>
      <color rgb="FF0000CC"/>
      <name val="Calibri"/>
      <family val="2"/>
      <scheme val="minor"/>
    </font>
    <font>
      <u/>
      <sz val="11"/>
      <color theme="10"/>
      <name val="Calibri"/>
      <family val="2"/>
      <scheme val="minor"/>
    </font>
    <font>
      <b/>
      <u/>
      <sz val="12"/>
      <color rgb="FFFF0000"/>
      <name val="Calibri"/>
      <family val="2"/>
      <scheme val="minor"/>
    </font>
    <font>
      <sz val="10"/>
      <name val="MS Sans Serif"/>
      <family val="2"/>
    </font>
    <font>
      <sz val="11"/>
      <color rgb="FF000000"/>
      <name val="Calibri"/>
      <family val="2"/>
    </font>
    <font>
      <u/>
      <sz val="12"/>
      <color theme="10"/>
      <name val="Calibri"/>
      <family val="2"/>
      <scheme val="minor"/>
    </font>
    <font>
      <sz val="12"/>
      <color theme="0" tint="-0.14999847407452621"/>
      <name val="Adobe Gothic Std B"/>
    </font>
  </fonts>
  <fills count="13">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rgb="FFFC6C00"/>
        <bgColor indexed="64"/>
      </patternFill>
    </fill>
    <fill>
      <patternFill patternType="solid">
        <fgColor rgb="FFFFFF00"/>
        <bgColor indexed="64"/>
      </patternFill>
    </fill>
    <fill>
      <patternFill patternType="solid">
        <fgColor rgb="FF0000B3"/>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rgb="FFFF0000"/>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rgb="FF92D050"/>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medium">
        <color indexed="64"/>
      </right>
      <top/>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s>
  <cellStyleXfs count="6">
    <xf numFmtId="0" fontId="0" fillId="0" borderId="0"/>
    <xf numFmtId="0" fontId="19" fillId="0" borderId="0">
      <alignment vertical="center"/>
    </xf>
    <xf numFmtId="0" fontId="21" fillId="0" borderId="0" applyNumberFormat="0" applyFill="0" applyBorder="0" applyAlignment="0" applyProtection="0"/>
    <xf numFmtId="0" fontId="23" fillId="0" borderId="0"/>
    <xf numFmtId="9" fontId="24" fillId="0" borderId="0" applyFont="0" applyFill="0" applyBorder="0" applyAlignment="0" applyProtection="0"/>
    <xf numFmtId="44" fontId="24" fillId="0" borderId="0" applyFont="0" applyFill="0" applyBorder="0" applyAlignment="0" applyProtection="0"/>
  </cellStyleXfs>
  <cellXfs count="197">
    <xf numFmtId="0" fontId="0" fillId="0" borderId="0" xfId="0"/>
    <xf numFmtId="0" fontId="4" fillId="2" borderId="4" xfId="0" applyFont="1" applyFill="1" applyBorder="1" applyAlignment="1">
      <alignment horizontal="left" vertical="center"/>
    </xf>
    <xf numFmtId="0" fontId="1" fillId="2" borderId="4" xfId="0" applyFont="1" applyFill="1" applyBorder="1" applyAlignment="1">
      <alignment horizontal="centerContinuous" vertical="center"/>
    </xf>
    <xf numFmtId="0" fontId="5" fillId="2" borderId="4" xfId="0" applyFont="1" applyFill="1" applyBorder="1" applyAlignment="1">
      <alignment horizontal="left" vertical="center"/>
    </xf>
    <xf numFmtId="0" fontId="6" fillId="0" borderId="0" xfId="0" applyFont="1" applyAlignment="1">
      <alignment vertical="center"/>
    </xf>
    <xf numFmtId="0" fontId="6" fillId="0" borderId="16" xfId="0" applyFont="1" applyBorder="1" applyAlignment="1">
      <alignment horizontal="center" vertical="center" wrapText="1"/>
    </xf>
    <xf numFmtId="0" fontId="6" fillId="0" borderId="0" xfId="0" applyFont="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7" borderId="7" xfId="0" applyFont="1" applyFill="1" applyBorder="1" applyAlignment="1">
      <alignment horizontal="center" vertical="center"/>
    </xf>
    <xf numFmtId="0" fontId="8" fillId="7" borderId="7" xfId="0" applyFont="1" applyFill="1" applyBorder="1" applyAlignment="1">
      <alignment horizontal="center" vertical="center"/>
    </xf>
    <xf numFmtId="0" fontId="4" fillId="3" borderId="1" xfId="0" applyFont="1" applyFill="1" applyBorder="1" applyAlignment="1">
      <alignment vertical="center"/>
    </xf>
    <xf numFmtId="167" fontId="4" fillId="3" borderId="2" xfId="0" applyNumberFormat="1" applyFont="1" applyFill="1" applyBorder="1" applyAlignment="1">
      <alignment vertical="center"/>
    </xf>
    <xf numFmtId="167" fontId="4" fillId="3" borderId="2" xfId="0" applyNumberFormat="1" applyFont="1" applyFill="1" applyBorder="1" applyAlignment="1">
      <alignment horizontal="center" vertical="center"/>
    </xf>
    <xf numFmtId="167" fontId="13" fillId="3" borderId="2" xfId="0" applyNumberFormat="1" applyFont="1" applyFill="1" applyBorder="1" applyAlignment="1">
      <alignment horizontal="center" vertical="center"/>
    </xf>
    <xf numFmtId="167" fontId="13" fillId="3" borderId="2" xfId="0" applyNumberFormat="1" applyFont="1" applyFill="1" applyBorder="1" applyAlignment="1">
      <alignment vertical="center"/>
    </xf>
    <xf numFmtId="0" fontId="5" fillId="4" borderId="4" xfId="0" applyFont="1" applyFill="1" applyBorder="1" applyAlignment="1">
      <alignment horizontal="left" vertical="center"/>
    </xf>
    <xf numFmtId="0" fontId="14" fillId="6" borderId="1" xfId="0" applyFont="1" applyFill="1" applyBorder="1" applyAlignment="1">
      <alignment horizontal="left" vertical="center"/>
    </xf>
    <xf numFmtId="0" fontId="3" fillId="0" borderId="2" xfId="0" applyFont="1" applyBorder="1" applyAlignment="1">
      <alignment horizontal="centerContinuous" vertical="center"/>
    </xf>
    <xf numFmtId="0" fontId="3" fillId="0" borderId="2"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horizontal="centerContinuous" vertical="center"/>
    </xf>
    <xf numFmtId="0" fontId="3" fillId="0" borderId="3" xfId="0" applyFont="1" applyBorder="1" applyAlignment="1">
      <alignment horizontal="centerContinuous" vertical="center"/>
    </xf>
    <xf numFmtId="0" fontId="3" fillId="0" borderId="4" xfId="0" applyFont="1" applyBorder="1" applyAlignment="1">
      <alignment horizontal="left" vertical="top"/>
    </xf>
    <xf numFmtId="0" fontId="3" fillId="0" borderId="5" xfId="0" applyFont="1" applyBorder="1" applyAlignment="1">
      <alignment horizontal="centerContinuous" vertical="center"/>
    </xf>
    <xf numFmtId="0" fontId="3" fillId="0" borderId="4" xfId="0" applyFont="1" applyBorder="1"/>
    <xf numFmtId="0" fontId="3" fillId="0" borderId="17" xfId="0" applyFont="1" applyBorder="1"/>
    <xf numFmtId="0" fontId="6" fillId="0" borderId="19" xfId="0" applyFont="1" applyBorder="1" applyAlignment="1">
      <alignment vertical="center"/>
    </xf>
    <xf numFmtId="0" fontId="6" fillId="0" borderId="19" xfId="0" applyFont="1" applyBorder="1" applyAlignment="1">
      <alignment horizontal="center" vertical="center"/>
    </xf>
    <xf numFmtId="0" fontId="10" fillId="0" borderId="19" xfId="0" applyFont="1" applyBorder="1" applyAlignment="1">
      <alignment horizontal="center" vertical="center"/>
    </xf>
    <xf numFmtId="0" fontId="10" fillId="0" borderId="19" xfId="0" applyFont="1" applyBorder="1" applyAlignment="1">
      <alignment vertical="center"/>
    </xf>
    <xf numFmtId="0" fontId="6" fillId="0" borderId="20" xfId="0" applyFont="1" applyBorder="1" applyAlignment="1">
      <alignment vertical="center"/>
    </xf>
    <xf numFmtId="0" fontId="10" fillId="0" borderId="0" xfId="0" applyFont="1" applyAlignment="1">
      <alignment horizontal="center" vertical="center"/>
    </xf>
    <xf numFmtId="0" fontId="10" fillId="0" borderId="0" xfId="0" applyFont="1" applyAlignment="1">
      <alignment vertical="center"/>
    </xf>
    <xf numFmtId="168" fontId="6" fillId="0" borderId="11" xfId="0" applyNumberFormat="1" applyFont="1" applyBorder="1" applyAlignment="1">
      <alignment horizontal="center" vertical="center"/>
    </xf>
    <xf numFmtId="168" fontId="6" fillId="0" borderId="0" xfId="0" applyNumberFormat="1" applyFont="1" applyAlignment="1">
      <alignment horizontal="center" vertical="center"/>
    </xf>
    <xf numFmtId="168" fontId="4" fillId="3" borderId="2" xfId="0" applyNumberFormat="1" applyFont="1" applyFill="1" applyBorder="1" applyAlignment="1">
      <alignment horizontal="center" vertical="center"/>
    </xf>
    <xf numFmtId="168" fontId="3" fillId="0" borderId="2" xfId="0" applyNumberFormat="1" applyFont="1" applyBorder="1" applyAlignment="1">
      <alignment horizontal="center" vertical="center"/>
    </xf>
    <xf numFmtId="168" fontId="6" fillId="0" borderId="19" xfId="0" applyNumberFormat="1" applyFont="1" applyBorder="1" applyAlignment="1">
      <alignment horizontal="center" vertical="center"/>
    </xf>
    <xf numFmtId="0" fontId="4" fillId="3" borderId="7" xfId="0" applyFont="1" applyFill="1" applyBorder="1" applyAlignment="1">
      <alignment horizontal="right" vertical="center"/>
    </xf>
    <xf numFmtId="166" fontId="8" fillId="5" borderId="8" xfId="0" applyNumberFormat="1" applyFont="1" applyFill="1" applyBorder="1" applyAlignment="1">
      <alignment vertical="center"/>
    </xf>
    <xf numFmtId="0" fontId="4" fillId="3" borderId="4" xfId="0" applyFont="1" applyFill="1" applyBorder="1" applyAlignment="1">
      <alignment vertical="center"/>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4" fillId="3" borderId="2" xfId="0" applyFont="1" applyFill="1" applyBorder="1" applyAlignment="1">
      <alignment vertical="center"/>
    </xf>
    <xf numFmtId="0" fontId="14" fillId="6" borderId="2" xfId="0" applyFont="1" applyFill="1" applyBorder="1" applyAlignment="1">
      <alignment horizontal="left" vertical="center"/>
    </xf>
    <xf numFmtId="0" fontId="3" fillId="0" borderId="19" xfId="0" applyFont="1" applyBorder="1"/>
    <xf numFmtId="0" fontId="14" fillId="9" borderId="7" xfId="0" applyFont="1" applyFill="1" applyBorder="1" applyAlignment="1">
      <alignment horizontal="center" vertical="center" wrapText="1"/>
    </xf>
    <xf numFmtId="0" fontId="14" fillId="9" borderId="19" xfId="0" applyFont="1" applyFill="1" applyBorder="1" applyAlignment="1">
      <alignment horizontal="center" vertical="center" wrapText="1"/>
    </xf>
    <xf numFmtId="0" fontId="6" fillId="0" borderId="0" xfId="0" applyFont="1" applyAlignment="1">
      <alignment vertical="center" wrapText="1"/>
    </xf>
    <xf numFmtId="166" fontId="7" fillId="0" borderId="7" xfId="0" applyNumberFormat="1" applyFont="1" applyBorder="1" applyAlignment="1">
      <alignment horizontal="center" vertical="center"/>
    </xf>
    <xf numFmtId="168" fontId="7" fillId="0" borderId="7" xfId="0" applyNumberFormat="1" applyFont="1" applyBorder="1" applyAlignment="1">
      <alignment horizontal="center" vertical="center"/>
    </xf>
    <xf numFmtId="166" fontId="6" fillId="0" borderId="7" xfId="0" applyNumberFormat="1" applyFont="1" applyBorder="1" applyAlignment="1">
      <alignment horizontal="center" vertical="center"/>
    </xf>
    <xf numFmtId="166" fontId="6" fillId="0" borderId="8" xfId="0" applyNumberFormat="1" applyFont="1" applyBorder="1" applyAlignment="1">
      <alignment horizontal="center" vertical="center"/>
    </xf>
    <xf numFmtId="0" fontId="6" fillId="0" borderId="23" xfId="0" applyFont="1" applyBorder="1" applyAlignment="1">
      <alignment horizontal="center" vertical="center"/>
    </xf>
    <xf numFmtId="0" fontId="6" fillId="0" borderId="7" xfId="0" applyFont="1" applyBorder="1" applyAlignment="1">
      <alignment horizontal="center" vertical="center"/>
    </xf>
    <xf numFmtId="0" fontId="15" fillId="9" borderId="17" xfId="0" applyFont="1" applyFill="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vertical="center" wrapText="1"/>
    </xf>
    <xf numFmtId="1" fontId="6" fillId="0" borderId="15" xfId="0" applyNumberFormat="1" applyFont="1" applyBorder="1" applyAlignment="1">
      <alignment horizontal="center" vertical="center" wrapText="1"/>
    </xf>
    <xf numFmtId="9" fontId="6" fillId="0" borderId="14" xfId="0" applyNumberFormat="1" applyFont="1" applyBorder="1" applyAlignment="1">
      <alignment horizontal="center" vertical="center" wrapText="1"/>
    </xf>
    <xf numFmtId="1" fontId="6" fillId="0" borderId="14" xfId="0" applyNumberFormat="1" applyFont="1" applyBorder="1" applyAlignment="1">
      <alignment horizontal="center" vertical="center" wrapText="1"/>
    </xf>
    <xf numFmtId="167" fontId="6" fillId="0" borderId="13" xfId="0" applyNumberFormat="1" applyFont="1" applyBorder="1" applyAlignment="1">
      <alignment horizontal="center" vertical="center" wrapText="1"/>
    </xf>
    <xf numFmtId="166" fontId="6" fillId="0" borderId="21" xfId="0" applyNumberFormat="1" applyFont="1" applyBorder="1" applyAlignment="1">
      <alignment horizontal="center" vertical="center" wrapText="1"/>
    </xf>
    <xf numFmtId="1" fontId="4" fillId="10" borderId="10" xfId="0" applyNumberFormat="1" applyFont="1" applyFill="1" applyBorder="1" applyAlignment="1">
      <alignment horizontal="center" vertical="center" wrapText="1"/>
    </xf>
    <xf numFmtId="166" fontId="6" fillId="11" borderId="27" xfId="0" applyNumberFormat="1" applyFont="1" applyFill="1" applyBorder="1" applyAlignment="1">
      <alignment horizontal="center" vertical="center" wrapText="1"/>
    </xf>
    <xf numFmtId="166" fontId="6" fillId="7" borderId="10" xfId="0" applyNumberFormat="1" applyFont="1" applyFill="1" applyBorder="1" applyAlignment="1">
      <alignment horizontal="center" vertical="center" wrapText="1"/>
    </xf>
    <xf numFmtId="168" fontId="6" fillId="0" borderId="11" xfId="0" applyNumberFormat="1" applyFont="1" applyBorder="1" applyAlignment="1">
      <alignment horizontal="center" vertical="center" wrapText="1"/>
    </xf>
    <xf numFmtId="1" fontId="4" fillId="0" borderId="10" xfId="0" applyNumberFormat="1" applyFont="1" applyBorder="1" applyAlignment="1">
      <alignment horizontal="center" vertical="center" wrapText="1"/>
    </xf>
    <xf numFmtId="166" fontId="4" fillId="0" borderId="26" xfId="0" applyNumberFormat="1" applyFont="1" applyBorder="1" applyAlignment="1">
      <alignment horizontal="center" vertical="center" wrapText="1"/>
    </xf>
    <xf numFmtId="167" fontId="6" fillId="0" borderId="10" xfId="0" applyNumberFormat="1" applyFont="1" applyBorder="1" applyAlignment="1">
      <alignment horizontal="center" vertical="center" wrapText="1"/>
    </xf>
    <xf numFmtId="0" fontId="6" fillId="0" borderId="22" xfId="0" applyFont="1" applyBorder="1" applyAlignment="1">
      <alignment vertical="center" wrapText="1"/>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15" fillId="9" borderId="6" xfId="0" applyFont="1" applyFill="1" applyBorder="1" applyAlignment="1">
      <alignment horizontal="center" vertical="center" wrapText="1"/>
    </xf>
    <xf numFmtId="0" fontId="6" fillId="0" borderId="15" xfId="0" applyFont="1" applyBorder="1" applyAlignment="1">
      <alignment horizontal="center" vertical="center" wrapText="1"/>
    </xf>
    <xf numFmtId="166" fontId="6" fillId="8" borderId="26" xfId="0" applyNumberFormat="1" applyFont="1" applyFill="1" applyBorder="1" applyAlignment="1">
      <alignment horizontal="center" vertical="center" wrapText="1"/>
    </xf>
    <xf numFmtId="0" fontId="6" fillId="0" borderId="15" xfId="0" applyFont="1" applyBorder="1" applyAlignment="1">
      <alignment wrapText="1"/>
    </xf>
    <xf numFmtId="0" fontId="25" fillId="0" borderId="0" xfId="2" applyFont="1" applyAlignment="1">
      <alignment vertical="center" wrapText="1"/>
    </xf>
    <xf numFmtId="166" fontId="4" fillId="3" borderId="5" xfId="0" applyNumberFormat="1" applyFont="1" applyFill="1" applyBorder="1" applyAlignment="1">
      <alignment vertical="center"/>
    </xf>
    <xf numFmtId="166" fontId="4" fillId="3" borderId="3" xfId="0" applyNumberFormat="1" applyFont="1" applyFill="1" applyBorder="1" applyAlignment="1">
      <alignment vertical="center"/>
    </xf>
    <xf numFmtId="166" fontId="5" fillId="4" borderId="5" xfId="0" applyNumberFormat="1" applyFont="1" applyFill="1" applyBorder="1" applyAlignment="1">
      <alignment vertical="center"/>
    </xf>
    <xf numFmtId="170" fontId="6" fillId="0" borderId="0" xfId="0" applyNumberFormat="1" applyFont="1" applyAlignment="1">
      <alignment vertical="center"/>
    </xf>
    <xf numFmtId="166" fontId="6" fillId="8" borderId="32" xfId="0" applyNumberFormat="1" applyFont="1" applyFill="1" applyBorder="1" applyAlignment="1">
      <alignment vertical="center" wrapText="1"/>
    </xf>
    <xf numFmtId="167" fontId="26" fillId="3" borderId="2" xfId="0" applyNumberFormat="1" applyFont="1" applyFill="1" applyBorder="1" applyAlignment="1">
      <alignment horizontal="center" vertical="center"/>
    </xf>
    <xf numFmtId="0" fontId="6" fillId="0" borderId="24" xfId="0" applyFont="1" applyBorder="1" applyAlignment="1">
      <alignment horizontal="center" vertical="center" wrapText="1"/>
    </xf>
    <xf numFmtId="0" fontId="6" fillId="0" borderId="31" xfId="0" applyFont="1" applyBorder="1" applyAlignment="1">
      <alignment horizontal="center" vertical="center" wrapText="1"/>
    </xf>
    <xf numFmtId="166" fontId="6" fillId="0" borderId="25" xfId="0" applyNumberFormat="1" applyFont="1" applyBorder="1" applyAlignment="1">
      <alignment horizontal="center" vertical="center" wrapText="1"/>
    </xf>
    <xf numFmtId="166" fontId="6" fillId="0" borderId="32" xfId="0" applyNumberFormat="1" applyFont="1" applyBorder="1" applyAlignment="1">
      <alignment horizontal="center" vertical="center" wrapText="1"/>
    </xf>
    <xf numFmtId="0" fontId="6" fillId="0" borderId="4" xfId="0" applyFont="1" applyBorder="1" applyAlignment="1">
      <alignment horizontal="center" vertical="center"/>
    </xf>
    <xf numFmtId="0" fontId="15" fillId="9" borderId="19" xfId="0" applyFont="1" applyFill="1" applyBorder="1" applyAlignment="1">
      <alignment horizontal="center" vertical="center" wrapText="1"/>
    </xf>
    <xf numFmtId="0" fontId="15" fillId="9" borderId="20" xfId="0" applyFont="1" applyFill="1" applyBorder="1" applyAlignment="1">
      <alignment horizontal="center" vertical="center" wrapText="1"/>
    </xf>
    <xf numFmtId="166" fontId="6" fillId="0" borderId="5" xfId="0" applyNumberFormat="1" applyFont="1" applyBorder="1" applyAlignment="1">
      <alignment horizontal="center" vertical="center" wrapText="1"/>
    </xf>
    <xf numFmtId="0" fontId="15" fillId="9" borderId="7" xfId="0" applyFont="1" applyFill="1" applyBorder="1" applyAlignment="1">
      <alignment horizontal="center" vertical="center" wrapText="1"/>
    </xf>
    <xf numFmtId="0" fontId="15" fillId="9" borderId="8" xfId="0" applyFont="1" applyFill="1" applyBorder="1" applyAlignment="1">
      <alignment horizontal="center" vertical="center" wrapText="1"/>
    </xf>
    <xf numFmtId="166" fontId="6" fillId="0" borderId="18" xfId="0" applyNumberFormat="1" applyFont="1" applyBorder="1" applyAlignment="1">
      <alignment horizontal="center" vertical="center" wrapText="1"/>
    </xf>
    <xf numFmtId="0" fontId="6" fillId="0" borderId="22" xfId="0" applyFont="1" applyBorder="1" applyAlignment="1">
      <alignment horizontal="center" vertical="center" wrapText="1"/>
    </xf>
    <xf numFmtId="0" fontId="1" fillId="12" borderId="1" xfId="0" applyFont="1" applyFill="1" applyBorder="1" applyAlignment="1">
      <alignment horizontal="centerContinuous" vertical="center"/>
    </xf>
    <xf numFmtId="0" fontId="1" fillId="12" borderId="2" xfId="0" applyFont="1" applyFill="1" applyBorder="1" applyAlignment="1">
      <alignment horizontal="centerContinuous" vertical="center"/>
    </xf>
    <xf numFmtId="0" fontId="2" fillId="12" borderId="2" xfId="0" applyFont="1" applyFill="1" applyBorder="1" applyAlignment="1">
      <alignment horizontal="center" vertical="center"/>
    </xf>
    <xf numFmtId="168" fontId="1" fillId="12" borderId="2" xfId="0" applyNumberFormat="1" applyFont="1" applyFill="1" applyBorder="1" applyAlignment="1">
      <alignment horizontal="center" vertical="center"/>
    </xf>
    <xf numFmtId="0" fontId="9" fillId="12" borderId="2" xfId="0" applyFont="1" applyFill="1" applyBorder="1" applyAlignment="1">
      <alignment horizontal="center" vertical="center"/>
    </xf>
    <xf numFmtId="0" fontId="1" fillId="12" borderId="2" xfId="0" applyFont="1" applyFill="1" applyBorder="1" applyAlignment="1">
      <alignment horizontal="center" vertical="center"/>
    </xf>
    <xf numFmtId="0" fontId="4" fillId="12" borderId="15" xfId="0" applyFont="1" applyFill="1" applyBorder="1" applyAlignment="1">
      <alignment horizontal="center" vertical="center" wrapText="1"/>
    </xf>
    <xf numFmtId="168" fontId="4" fillId="12" borderId="15" xfId="0" applyNumberFormat="1" applyFont="1" applyFill="1" applyBorder="1" applyAlignment="1">
      <alignment horizontal="center" vertical="center" wrapText="1"/>
    </xf>
    <xf numFmtId="0" fontId="6" fillId="12" borderId="2" xfId="0" applyFont="1" applyFill="1" applyBorder="1" applyAlignment="1">
      <alignment vertical="center"/>
    </xf>
    <xf numFmtId="0" fontId="3" fillId="12" borderId="3" xfId="0" applyFont="1" applyFill="1" applyBorder="1" applyAlignment="1">
      <alignment horizontal="centerContinuous" vertical="center"/>
    </xf>
    <xf numFmtId="0" fontId="4" fillId="2" borderId="0" xfId="0" applyFont="1" applyFill="1" applyBorder="1" applyAlignment="1">
      <alignment horizontal="left" vertical="center"/>
    </xf>
    <xf numFmtId="0" fontId="2" fillId="2" borderId="0" xfId="0" applyFont="1" applyFill="1" applyBorder="1" applyAlignment="1">
      <alignment horizontal="center" vertical="center"/>
    </xf>
    <xf numFmtId="0" fontId="6" fillId="2" borderId="0" xfId="0" applyFont="1" applyFill="1" applyBorder="1" applyAlignment="1">
      <alignment vertical="center"/>
    </xf>
    <xf numFmtId="0" fontId="9" fillId="2" borderId="0" xfId="0" applyFont="1" applyFill="1" applyBorder="1" applyAlignment="1">
      <alignment horizontal="center" vertical="center"/>
    </xf>
    <xf numFmtId="168" fontId="1" fillId="2" borderId="0" xfId="0" applyNumberFormat="1" applyFont="1" applyFill="1" applyBorder="1" applyAlignment="1">
      <alignment horizontal="center" vertical="center"/>
    </xf>
    <xf numFmtId="0" fontId="3" fillId="2" borderId="0" xfId="0" applyFont="1" applyFill="1" applyBorder="1" applyAlignment="1">
      <alignment horizontal="center" vertical="center"/>
    </xf>
    <xf numFmtId="0" fontId="11" fillId="2" borderId="0" xfId="0" applyFont="1" applyFill="1" applyBorder="1" applyAlignment="1">
      <alignment horizontal="right" vertical="center"/>
    </xf>
    <xf numFmtId="0" fontId="3" fillId="2" borderId="5" xfId="0" applyFont="1" applyFill="1" applyBorder="1" applyAlignment="1">
      <alignment horizontal="centerContinuous" vertical="center"/>
    </xf>
    <xf numFmtId="0" fontId="5" fillId="2" borderId="0" xfId="0" applyFont="1" applyFill="1" applyBorder="1" applyAlignment="1">
      <alignment horizontal="center" vertical="center"/>
    </xf>
    <xf numFmtId="0" fontId="12" fillId="2" borderId="0" xfId="0" applyFont="1" applyFill="1" applyBorder="1" applyAlignment="1">
      <alignment horizontal="right" vertical="center"/>
    </xf>
    <xf numFmtId="0" fontId="21" fillId="2" borderId="0" xfId="2" applyFill="1" applyBorder="1" applyAlignment="1">
      <alignment horizontal="left" vertical="center"/>
    </xf>
    <xf numFmtId="0" fontId="1" fillId="2" borderId="0" xfId="0" applyFont="1" applyFill="1" applyBorder="1" applyAlignment="1">
      <alignment horizontal="centerContinuous" vertical="center"/>
    </xf>
    <xf numFmtId="0" fontId="5" fillId="2" borderId="0" xfId="0" applyFont="1" applyFill="1" applyBorder="1" applyAlignment="1">
      <alignment horizontal="left" vertical="center"/>
    </xf>
    <xf numFmtId="0" fontId="5" fillId="2" borderId="0" xfId="0" applyFont="1" applyFill="1" applyBorder="1" applyAlignment="1">
      <alignment horizontal="right" vertical="center"/>
    </xf>
    <xf numFmtId="0" fontId="6" fillId="0" borderId="0" xfId="0" applyFont="1" applyBorder="1" applyAlignment="1">
      <alignment horizontal="center" vertical="center"/>
    </xf>
    <xf numFmtId="0" fontId="1" fillId="2" borderId="0" xfId="0" applyFont="1" applyFill="1" applyBorder="1" applyAlignment="1">
      <alignment horizontal="center" vertical="center" wrapText="1"/>
    </xf>
    <xf numFmtId="0" fontId="9" fillId="2" borderId="0" xfId="0" applyFont="1" applyFill="1" applyBorder="1" applyAlignment="1">
      <alignment horizontal="center" vertical="center" wrapText="1"/>
    </xf>
    <xf numFmtId="164" fontId="5" fillId="2" borderId="0" xfId="0" applyNumberFormat="1" applyFont="1" applyFill="1" applyBorder="1" applyAlignment="1">
      <alignment horizontal="left" vertical="center"/>
    </xf>
    <xf numFmtId="164" fontId="5" fillId="2" borderId="5" xfId="0" applyNumberFormat="1" applyFont="1" applyFill="1" applyBorder="1" applyAlignment="1">
      <alignment horizontal="left" vertical="center"/>
    </xf>
    <xf numFmtId="0" fontId="4" fillId="12" borderId="16" xfId="0" applyFont="1" applyFill="1" applyBorder="1" applyAlignment="1">
      <alignment horizontal="center" vertical="center" wrapText="1"/>
    </xf>
    <xf numFmtId="0" fontId="4" fillId="12" borderId="33" xfId="0" applyFont="1" applyFill="1" applyBorder="1" applyAlignment="1">
      <alignment horizontal="center" vertical="center" wrapText="1"/>
    </xf>
    <xf numFmtId="0" fontId="4" fillId="3" borderId="0" xfId="0" applyFont="1" applyFill="1" applyBorder="1" applyAlignment="1">
      <alignment vertical="center"/>
    </xf>
    <xf numFmtId="9" fontId="4" fillId="3" borderId="0" xfId="0" applyNumberFormat="1" applyFont="1" applyFill="1" applyBorder="1" applyAlignment="1">
      <alignment vertical="center" wrapText="1"/>
    </xf>
    <xf numFmtId="9" fontId="4" fillId="3" borderId="0" xfId="0" applyNumberFormat="1" applyFont="1" applyFill="1" applyBorder="1" applyAlignment="1">
      <alignment horizontal="center" vertical="center"/>
    </xf>
    <xf numFmtId="165" fontId="6" fillId="3" borderId="0" xfId="0" applyNumberFormat="1" applyFont="1" applyFill="1" applyBorder="1" applyAlignment="1">
      <alignment horizontal="center" vertical="center"/>
    </xf>
    <xf numFmtId="165" fontId="10" fillId="3" borderId="0" xfId="0" applyNumberFormat="1" applyFont="1" applyFill="1" applyBorder="1" applyAlignment="1">
      <alignment horizontal="center" vertical="center"/>
    </xf>
    <xf numFmtId="168" fontId="6" fillId="3" borderId="0" xfId="0" applyNumberFormat="1" applyFont="1" applyFill="1" applyBorder="1" applyAlignment="1">
      <alignment horizontal="center" vertical="center"/>
    </xf>
    <xf numFmtId="165" fontId="6" fillId="3" borderId="0" xfId="0" applyNumberFormat="1" applyFont="1" applyFill="1" applyBorder="1" applyAlignment="1">
      <alignment vertical="center"/>
    </xf>
    <xf numFmtId="165" fontId="10" fillId="3" borderId="0" xfId="0" applyNumberFormat="1" applyFont="1" applyFill="1" applyBorder="1" applyAlignment="1">
      <alignment vertical="center"/>
    </xf>
    <xf numFmtId="9" fontId="6" fillId="3" borderId="0" xfId="0" applyNumberFormat="1" applyFont="1" applyFill="1" applyBorder="1" applyAlignment="1">
      <alignment horizontal="center" vertical="center"/>
    </xf>
    <xf numFmtId="9" fontId="10" fillId="3" borderId="0" xfId="0" applyNumberFormat="1" applyFont="1" applyFill="1" applyBorder="1" applyAlignment="1">
      <alignment horizontal="center" vertical="center"/>
    </xf>
    <xf numFmtId="9" fontId="6" fillId="3" borderId="0" xfId="0" applyNumberFormat="1" applyFont="1" applyFill="1" applyBorder="1" applyAlignment="1">
      <alignment vertical="center"/>
    </xf>
    <xf numFmtId="9" fontId="10" fillId="3" borderId="0" xfId="0" applyNumberFormat="1" applyFont="1" applyFill="1" applyBorder="1" applyAlignment="1">
      <alignment vertical="center"/>
    </xf>
    <xf numFmtId="9" fontId="4" fillId="3" borderId="0" xfId="0" applyNumberFormat="1" applyFont="1" applyFill="1" applyBorder="1" applyAlignment="1">
      <alignment vertical="center"/>
    </xf>
    <xf numFmtId="0" fontId="5" fillId="4" borderId="0" xfId="0" applyFont="1" applyFill="1" applyBorder="1" applyAlignment="1">
      <alignment horizontal="left" vertical="center"/>
    </xf>
    <xf numFmtId="165" fontId="16" fillId="4" borderId="0" xfId="0" applyNumberFormat="1" applyFont="1" applyFill="1" applyBorder="1" applyAlignment="1">
      <alignment vertical="center"/>
    </xf>
    <xf numFmtId="165" fontId="16" fillId="4" borderId="0" xfId="0" applyNumberFormat="1" applyFont="1" applyFill="1" applyBorder="1" applyAlignment="1">
      <alignment horizontal="center" vertical="center"/>
    </xf>
    <xf numFmtId="165" fontId="17" fillId="4" borderId="0" xfId="0" applyNumberFormat="1" applyFont="1" applyFill="1" applyBorder="1" applyAlignment="1">
      <alignment horizontal="center" vertical="center"/>
    </xf>
    <xf numFmtId="168" fontId="16" fillId="4" borderId="0" xfId="0" applyNumberFormat="1" applyFont="1" applyFill="1" applyBorder="1" applyAlignment="1">
      <alignment horizontal="center" vertical="center"/>
    </xf>
    <xf numFmtId="165" fontId="17" fillId="4" borderId="0" xfId="0" applyNumberFormat="1" applyFont="1" applyFill="1" applyBorder="1" applyAlignment="1">
      <alignment vertical="center"/>
    </xf>
    <xf numFmtId="0" fontId="3" fillId="0" borderId="0" xfId="0" applyFont="1" applyBorder="1" applyAlignment="1">
      <alignment horizontal="left" vertical="top"/>
    </xf>
    <xf numFmtId="0" fontId="3" fillId="0" borderId="0" xfId="0" applyFont="1" applyBorder="1" applyAlignment="1">
      <alignment horizontal="centerContinuous" vertical="center"/>
    </xf>
    <xf numFmtId="0" fontId="3" fillId="0" borderId="0" xfId="0" applyFont="1" applyBorder="1" applyAlignment="1">
      <alignment horizontal="center" vertical="center"/>
    </xf>
    <xf numFmtId="0" fontId="9" fillId="0" borderId="0" xfId="0" applyFont="1" applyBorder="1" applyAlignment="1">
      <alignment horizontal="center" vertical="center"/>
    </xf>
    <xf numFmtId="168" fontId="3" fillId="0" borderId="0" xfId="0" applyNumberFormat="1" applyFont="1" applyBorder="1" applyAlignment="1">
      <alignment horizontal="center" vertical="center"/>
    </xf>
    <xf numFmtId="0" fontId="9" fillId="0" borderId="0" xfId="0" applyFont="1" applyBorder="1" applyAlignment="1">
      <alignment horizontal="centerContinuous" vertical="center"/>
    </xf>
    <xf numFmtId="0" fontId="3" fillId="0" borderId="0" xfId="0" applyFont="1" applyBorder="1"/>
    <xf numFmtId="166" fontId="6" fillId="0" borderId="18" xfId="0" applyNumberFormat="1" applyFont="1" applyBorder="1" applyAlignment="1">
      <alignment vertical="center" wrapText="1"/>
    </xf>
    <xf numFmtId="0" fontId="6" fillId="0" borderId="24" xfId="0" applyFont="1" applyBorder="1" applyAlignment="1">
      <alignment vertical="center" wrapText="1"/>
    </xf>
    <xf numFmtId="0" fontId="6" fillId="0" borderId="14" xfId="0" applyFont="1" applyFill="1" applyBorder="1" applyAlignment="1">
      <alignment vertical="center" wrapText="1"/>
    </xf>
    <xf numFmtId="1" fontId="6" fillId="0" borderId="15" xfId="0" applyNumberFormat="1" applyFont="1" applyFill="1" applyBorder="1" applyAlignment="1">
      <alignment horizontal="center" vertical="center" wrapText="1"/>
    </xf>
    <xf numFmtId="9" fontId="6" fillId="0" borderId="14" xfId="0" applyNumberFormat="1" applyFont="1" applyFill="1" applyBorder="1" applyAlignment="1">
      <alignment horizontal="center" vertical="center" wrapText="1"/>
    </xf>
    <xf numFmtId="1" fontId="6" fillId="0" borderId="14" xfId="0" applyNumberFormat="1" applyFont="1" applyFill="1" applyBorder="1" applyAlignment="1">
      <alignment horizontal="center" vertical="center" wrapText="1"/>
    </xf>
    <xf numFmtId="0" fontId="6" fillId="0" borderId="21" xfId="0" applyFont="1" applyFill="1" applyBorder="1" applyAlignment="1">
      <alignment horizontal="center" vertical="center" wrapText="1"/>
    </xf>
    <xf numFmtId="167" fontId="6" fillId="0" borderId="13" xfId="0" applyNumberFormat="1" applyFont="1" applyFill="1" applyBorder="1" applyAlignment="1">
      <alignment horizontal="center" vertical="center" wrapText="1"/>
    </xf>
    <xf numFmtId="166" fontId="6" fillId="0" borderId="21" xfId="0" applyNumberFormat="1" applyFont="1" applyFill="1" applyBorder="1" applyAlignment="1">
      <alignment horizontal="center" vertical="center" wrapText="1"/>
    </xf>
    <xf numFmtId="1" fontId="4" fillId="0" borderId="10" xfId="0" applyNumberFormat="1" applyFont="1" applyFill="1" applyBorder="1" applyAlignment="1">
      <alignment horizontal="center" vertical="center" wrapText="1"/>
    </xf>
    <xf numFmtId="166" fontId="6" fillId="0" borderId="27" xfId="0" applyNumberFormat="1" applyFont="1" applyFill="1" applyBorder="1" applyAlignment="1">
      <alignment horizontal="center" vertical="center" wrapText="1"/>
    </xf>
    <xf numFmtId="166" fontId="6" fillId="0" borderId="10" xfId="0" applyNumberFormat="1" applyFont="1" applyFill="1" applyBorder="1" applyAlignment="1">
      <alignment horizontal="center" vertical="center" wrapText="1"/>
    </xf>
    <xf numFmtId="168" fontId="6" fillId="0" borderId="11" xfId="0" applyNumberFormat="1" applyFont="1" applyFill="1" applyBorder="1" applyAlignment="1">
      <alignment horizontal="center" vertical="center" wrapText="1"/>
    </xf>
    <xf numFmtId="166" fontId="4" fillId="0" borderId="26" xfId="0" applyNumberFormat="1" applyFont="1" applyFill="1" applyBorder="1" applyAlignment="1">
      <alignment horizontal="center" vertical="center" wrapText="1"/>
    </xf>
    <xf numFmtId="167" fontId="6" fillId="0" borderId="9" xfId="0" applyNumberFormat="1" applyFont="1" applyFill="1" applyBorder="1" applyAlignment="1">
      <alignment horizontal="center" vertical="center" wrapText="1"/>
    </xf>
    <xf numFmtId="166" fontId="6" fillId="0" borderId="12" xfId="0" applyNumberFormat="1" applyFont="1" applyFill="1" applyBorder="1" applyAlignment="1">
      <alignment horizontal="center" vertical="center" wrapText="1"/>
    </xf>
    <xf numFmtId="166" fontId="6" fillId="0" borderId="25" xfId="0" applyNumberFormat="1" applyFont="1" applyFill="1" applyBorder="1" applyAlignment="1">
      <alignment horizontal="center" vertical="center" wrapText="1"/>
    </xf>
    <xf numFmtId="0" fontId="6" fillId="0" borderId="15" xfId="0" applyFont="1" applyFill="1" applyBorder="1" applyAlignment="1">
      <alignment vertical="center" wrapText="1"/>
    </xf>
    <xf numFmtId="0" fontId="6" fillId="0" borderId="22" xfId="0" applyFont="1" applyFill="1" applyBorder="1" applyAlignment="1">
      <alignment vertical="center" wrapText="1"/>
    </xf>
    <xf numFmtId="166" fontId="6" fillId="0" borderId="32" xfId="0" applyNumberFormat="1" applyFont="1" applyFill="1" applyBorder="1" applyAlignment="1">
      <alignment horizontal="center" vertical="center" wrapText="1"/>
    </xf>
    <xf numFmtId="0" fontId="20" fillId="0" borderId="15" xfId="0" applyFont="1" applyFill="1" applyBorder="1" applyAlignment="1">
      <alignment horizontal="center" vertical="center" wrapText="1"/>
    </xf>
    <xf numFmtId="0" fontId="6" fillId="0" borderId="15" xfId="0" applyFont="1" applyFill="1" applyBorder="1" applyAlignment="1">
      <alignment horizontal="center" vertical="center" wrapText="1"/>
    </xf>
    <xf numFmtId="167" fontId="6" fillId="0" borderId="10" xfId="0" applyNumberFormat="1" applyFont="1" applyFill="1" applyBorder="1" applyAlignment="1">
      <alignment horizontal="center" vertical="center" wrapText="1"/>
    </xf>
    <xf numFmtId="166" fontId="6" fillId="0" borderId="26" xfId="0" applyNumberFormat="1" applyFont="1" applyFill="1" applyBorder="1" applyAlignment="1">
      <alignment horizontal="center" vertical="center" wrapText="1"/>
    </xf>
    <xf numFmtId="0" fontId="22" fillId="0" borderId="15" xfId="0" applyFont="1" applyFill="1" applyBorder="1" applyAlignment="1">
      <alignment horizontal="left" vertical="center" wrapText="1"/>
    </xf>
    <xf numFmtId="0" fontId="6" fillId="0" borderId="15" xfId="0" applyFont="1" applyFill="1" applyBorder="1" applyAlignment="1">
      <alignment wrapText="1"/>
    </xf>
    <xf numFmtId="0" fontId="18" fillId="0" borderId="15"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8" fillId="0" borderId="15" xfId="0" applyFont="1" applyFill="1" applyBorder="1" applyAlignment="1">
      <alignment horizontal="center" vertical="center" wrapText="1"/>
    </xf>
    <xf numFmtId="0" fontId="3" fillId="0" borderId="15" xfId="3" applyFont="1" applyFill="1" applyBorder="1" applyAlignment="1">
      <alignment horizontal="left" vertical="center" wrapText="1"/>
    </xf>
    <xf numFmtId="9" fontId="6" fillId="0" borderId="15" xfId="0" applyNumberFormat="1" applyFont="1" applyFill="1" applyBorder="1" applyAlignment="1">
      <alignment horizontal="center" vertical="center" wrapText="1"/>
    </xf>
    <xf numFmtId="0" fontId="3" fillId="0" borderId="15" xfId="0" applyFont="1" applyFill="1" applyBorder="1" applyAlignment="1">
      <alignment horizontal="center" vertical="center" wrapText="1"/>
    </xf>
    <xf numFmtId="0" fontId="3" fillId="0" borderId="15" xfId="3" applyFont="1" applyFill="1" applyBorder="1" applyAlignment="1">
      <alignment horizontal="right" vertical="center" wrapText="1"/>
    </xf>
    <xf numFmtId="1" fontId="3" fillId="0" borderId="15" xfId="0" applyNumberFormat="1" applyFont="1" applyFill="1" applyBorder="1" applyAlignment="1">
      <alignment horizontal="center" vertical="center"/>
    </xf>
    <xf numFmtId="9" fontId="6" fillId="0" borderId="14" xfId="0" applyNumberFormat="1" applyFont="1" applyFill="1" applyBorder="1" applyAlignment="1">
      <alignment horizontal="center" vertical="center"/>
    </xf>
    <xf numFmtId="1" fontId="6" fillId="0" borderId="14" xfId="0" applyNumberFormat="1" applyFont="1" applyFill="1" applyBorder="1" applyAlignment="1">
      <alignment horizontal="center" vertical="center"/>
    </xf>
    <xf numFmtId="0" fontId="3" fillId="0" borderId="15" xfId="0" applyFont="1" applyFill="1" applyBorder="1" applyAlignment="1">
      <alignment horizontal="center" vertical="center"/>
    </xf>
    <xf numFmtId="168" fontId="3" fillId="0" borderId="15" xfId="0" applyNumberFormat="1" applyFont="1" applyFill="1" applyBorder="1" applyAlignment="1">
      <alignment horizontal="center" vertical="center"/>
    </xf>
    <xf numFmtId="168" fontId="6" fillId="0" borderId="14" xfId="0" applyNumberFormat="1" applyFont="1" applyFill="1" applyBorder="1" applyAlignment="1">
      <alignment horizontal="center" vertical="center"/>
    </xf>
    <xf numFmtId="169" fontId="6" fillId="0" borderId="10" xfId="0" applyNumberFormat="1" applyFont="1" applyFill="1" applyBorder="1" applyAlignment="1">
      <alignment horizontal="center" vertical="center" wrapText="1"/>
    </xf>
    <xf numFmtId="0" fontId="4" fillId="0" borderId="15" xfId="0" applyFont="1" applyFill="1" applyBorder="1" applyAlignment="1">
      <alignment horizontal="left" vertical="center" wrapText="1"/>
    </xf>
  </cellXfs>
  <cellStyles count="6">
    <cellStyle name="Currency 2" xfId="5" xr:uid="{00000000-0005-0000-0000-000001000000}"/>
    <cellStyle name="Hyperlink" xfId="2" builtinId="8"/>
    <cellStyle name="Normal" xfId="0" builtinId="0"/>
    <cellStyle name="Normal 3" xfId="1" xr:uid="{00000000-0005-0000-0000-000004000000}"/>
    <cellStyle name="Normal_Addendum #8" xfId="3" xr:uid="{00000000-0005-0000-0000-000005000000}"/>
    <cellStyle name="Percent 2" xfId="4" xr:uid="{00000000-0005-0000-0000-000006000000}"/>
  </cellStyles>
  <dxfs count="0"/>
  <tableStyles count="0" defaultTableStyle="TableStyleMedium2" defaultPivotStyle="PivotStyleLight16"/>
  <colors>
    <mruColors>
      <color rgb="FF3333FF"/>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802820</xdr:colOff>
      <xdr:row>1</xdr:row>
      <xdr:rowOff>68035</xdr:rowOff>
    </xdr:from>
    <xdr:ext cx="2363507" cy="809559"/>
    <xdr:pic>
      <xdr:nvPicPr>
        <xdr:cNvPr id="2" name="Picture 1">
          <a:extLst>
            <a:ext uri="{FF2B5EF4-FFF2-40B4-BE49-F238E27FC236}">
              <a16:creationId xmlns:a16="http://schemas.microsoft.com/office/drawing/2014/main" id="{D5280EBC-56AC-4BB7-9275-66BE763CC9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499" y="272142"/>
          <a:ext cx="2363507" cy="809559"/>
        </a:xfrm>
        <a:prstGeom prst="rect">
          <a:avLst/>
        </a:prstGeom>
      </xdr:spPr>
    </xdr:pic>
    <xdr:clientData/>
  </xdr:oneCellAnchor>
  <xdr:oneCellAnchor>
    <xdr:from>
      <xdr:col>15</xdr:col>
      <xdr:colOff>802820</xdr:colOff>
      <xdr:row>78</xdr:row>
      <xdr:rowOff>68035</xdr:rowOff>
    </xdr:from>
    <xdr:ext cx="2363507" cy="809559"/>
    <xdr:pic>
      <xdr:nvPicPr>
        <xdr:cNvPr id="3" name="Picture 2">
          <a:extLst>
            <a:ext uri="{FF2B5EF4-FFF2-40B4-BE49-F238E27FC236}">
              <a16:creationId xmlns:a16="http://schemas.microsoft.com/office/drawing/2014/main" id="{86A2C394-B359-47C9-8761-89E3D2A403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499" y="272142"/>
          <a:ext cx="2363507" cy="809559"/>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145"/>
  <sheetViews>
    <sheetView tabSelected="1" view="pageBreakPreview" topLeftCell="A62" zoomScale="70" zoomScaleNormal="70" zoomScaleSheetLayoutView="70" workbookViewId="0">
      <selection activeCell="C73" sqref="C73"/>
    </sheetView>
  </sheetViews>
  <sheetFormatPr defaultColWidth="9.140625" defaultRowHeight="15.75"/>
  <cols>
    <col min="1" max="1" width="6.7109375" style="4" customWidth="1"/>
    <col min="2" max="2" width="12.7109375" style="4" customWidth="1"/>
    <col min="3" max="3" width="71.7109375" style="4" customWidth="1"/>
    <col min="4" max="4" width="12.85546875" style="6" customWidth="1"/>
    <col min="5" max="5" width="14.28515625" style="6" customWidth="1"/>
    <col min="6" max="6" width="17" style="6" customWidth="1"/>
    <col min="7" max="7" width="14.140625" style="6" customWidth="1"/>
    <col min="8" max="8" width="17.28515625" style="6" customWidth="1"/>
    <col min="9" max="9" width="17.42578125" style="32" customWidth="1"/>
    <col min="10" max="10" width="12.42578125" style="32" customWidth="1"/>
    <col min="11" max="11" width="17.140625" style="32" customWidth="1"/>
    <col min="12" max="12" width="18.85546875" style="32" customWidth="1"/>
    <col min="13" max="13" width="16.28515625" style="35" customWidth="1"/>
    <col min="14" max="14" width="13.42578125" style="32" customWidth="1"/>
    <col min="15" max="15" width="14.42578125" style="4" customWidth="1"/>
    <col min="16" max="16" width="18.42578125" style="33" customWidth="1"/>
    <col min="17" max="17" width="15.85546875" style="33" customWidth="1"/>
    <col min="18" max="18" width="21.7109375" style="4" customWidth="1"/>
    <col min="19" max="19" width="13.5703125" style="4" bestFit="1" customWidth="1"/>
    <col min="20" max="16384" width="9.140625" style="4"/>
  </cols>
  <sheetData>
    <row r="1" spans="1:18">
      <c r="A1" s="99"/>
      <c r="B1" s="100"/>
      <c r="C1" s="101"/>
      <c r="D1" s="107"/>
      <c r="E1" s="103"/>
      <c r="F1" s="103"/>
      <c r="G1" s="103"/>
      <c r="H1" s="103"/>
      <c r="I1" s="103"/>
      <c r="J1" s="103"/>
      <c r="K1" s="103"/>
      <c r="L1" s="103"/>
      <c r="M1" s="102"/>
      <c r="N1" s="103"/>
      <c r="O1" s="104"/>
      <c r="P1" s="103"/>
      <c r="Q1" s="103"/>
      <c r="R1" s="108"/>
    </row>
    <row r="2" spans="1:18">
      <c r="A2" s="1"/>
      <c r="B2" s="109"/>
      <c r="C2" s="110"/>
      <c r="D2" s="111"/>
      <c r="E2" s="112"/>
      <c r="F2" s="112"/>
      <c r="G2" s="112"/>
      <c r="H2" s="112"/>
      <c r="I2" s="112"/>
      <c r="J2" s="112"/>
      <c r="K2" s="112"/>
      <c r="L2" s="112"/>
      <c r="M2" s="113"/>
      <c r="N2" s="112"/>
      <c r="O2" s="114"/>
      <c r="P2" s="115"/>
      <c r="Q2" s="115"/>
      <c r="R2" s="116"/>
    </row>
    <row r="3" spans="1:18">
      <c r="A3" s="1"/>
      <c r="B3" s="109"/>
      <c r="C3" s="117"/>
      <c r="D3" s="111"/>
      <c r="E3" s="112"/>
      <c r="F3" s="112"/>
      <c r="G3" s="112"/>
      <c r="H3" s="112"/>
      <c r="I3" s="112"/>
      <c r="J3" s="112"/>
      <c r="K3" s="112"/>
      <c r="L3" s="118" t="s">
        <v>64</v>
      </c>
      <c r="M3" s="119"/>
      <c r="N3" s="112"/>
      <c r="O3" s="114"/>
      <c r="P3" s="118"/>
      <c r="Q3" s="119"/>
      <c r="R3" s="116"/>
    </row>
    <row r="4" spans="1:18">
      <c r="A4" s="2"/>
      <c r="B4" s="120"/>
      <c r="C4" s="110"/>
      <c r="D4" s="111"/>
      <c r="E4" s="112"/>
      <c r="F4" s="112"/>
      <c r="G4" s="112"/>
      <c r="H4" s="112"/>
      <c r="I4" s="112"/>
      <c r="J4" s="112"/>
      <c r="K4" s="112"/>
      <c r="L4" s="118" t="s">
        <v>6</v>
      </c>
      <c r="M4" s="119"/>
      <c r="N4" s="112"/>
      <c r="O4" s="114"/>
      <c r="P4" s="118"/>
      <c r="Q4" s="119"/>
      <c r="R4" s="116"/>
    </row>
    <row r="5" spans="1:18">
      <c r="A5" s="3" t="s">
        <v>131</v>
      </c>
      <c r="B5" s="121"/>
      <c r="C5" s="122"/>
      <c r="D5" s="111"/>
      <c r="E5" s="112"/>
      <c r="F5" s="112"/>
      <c r="G5" s="112"/>
      <c r="H5" s="112"/>
      <c r="I5" s="112"/>
      <c r="J5" s="112"/>
      <c r="K5" s="112"/>
      <c r="L5" s="118" t="s">
        <v>7</v>
      </c>
      <c r="M5" s="118"/>
      <c r="N5" s="112"/>
      <c r="O5" s="114"/>
      <c r="P5" s="118"/>
      <c r="Q5" s="118"/>
      <c r="R5" s="116"/>
    </row>
    <row r="6" spans="1:18">
      <c r="A6" s="91"/>
      <c r="B6" s="123"/>
      <c r="C6" s="123"/>
      <c r="D6" s="111"/>
      <c r="E6" s="124"/>
      <c r="F6" s="112"/>
      <c r="G6" s="112"/>
      <c r="H6" s="112"/>
      <c r="I6" s="112"/>
      <c r="J6" s="112"/>
      <c r="K6" s="112"/>
      <c r="L6" s="118" t="s">
        <v>0</v>
      </c>
      <c r="M6" s="126">
        <f ca="1">TODAY()</f>
        <v>46155</v>
      </c>
      <c r="N6" s="125"/>
      <c r="O6" s="114"/>
      <c r="P6" s="118"/>
      <c r="Q6" s="126"/>
      <c r="R6" s="127"/>
    </row>
    <row r="7" spans="1:18" s="50" customFormat="1" ht="47.25">
      <c r="A7" s="128" t="s">
        <v>8</v>
      </c>
      <c r="B7" s="105" t="s">
        <v>97</v>
      </c>
      <c r="C7" s="105" t="s">
        <v>1</v>
      </c>
      <c r="D7" s="105" t="s">
        <v>9</v>
      </c>
      <c r="E7" s="105" t="s">
        <v>10</v>
      </c>
      <c r="F7" s="105" t="s">
        <v>11</v>
      </c>
      <c r="G7" s="105" t="s">
        <v>12</v>
      </c>
      <c r="H7" s="105" t="s">
        <v>24</v>
      </c>
      <c r="I7" s="105" t="s">
        <v>2</v>
      </c>
      <c r="J7" s="105" t="s">
        <v>41</v>
      </c>
      <c r="K7" s="105" t="s">
        <v>40</v>
      </c>
      <c r="L7" s="105" t="s">
        <v>36</v>
      </c>
      <c r="M7" s="106" t="s">
        <v>37</v>
      </c>
      <c r="N7" s="105" t="s">
        <v>38</v>
      </c>
      <c r="O7" s="105" t="s">
        <v>3</v>
      </c>
      <c r="P7" s="105" t="s">
        <v>13</v>
      </c>
      <c r="Q7" s="105" t="s">
        <v>4</v>
      </c>
      <c r="R7" s="129" t="s">
        <v>14</v>
      </c>
    </row>
    <row r="8" spans="1:18" s="50" customFormat="1" ht="16.5" thickBot="1">
      <c r="A8" s="57"/>
      <c r="B8" s="49" t="s">
        <v>98</v>
      </c>
      <c r="C8" s="49" t="s">
        <v>15</v>
      </c>
      <c r="D8" s="92"/>
      <c r="E8" s="92"/>
      <c r="F8" s="92"/>
      <c r="G8" s="92"/>
      <c r="H8" s="92"/>
      <c r="I8" s="92"/>
      <c r="J8" s="92"/>
      <c r="K8" s="92"/>
      <c r="L8" s="92"/>
      <c r="M8" s="92"/>
      <c r="N8" s="92"/>
      <c r="O8" s="92"/>
      <c r="P8" s="92"/>
      <c r="Q8" s="92"/>
      <c r="R8" s="93"/>
    </row>
    <row r="9" spans="1:18" s="50" customFormat="1">
      <c r="A9" s="58">
        <v>1</v>
      </c>
      <c r="B9" s="42"/>
      <c r="C9" s="158" t="s">
        <v>26</v>
      </c>
      <c r="D9" s="159">
        <v>1</v>
      </c>
      <c r="E9" s="160">
        <v>0</v>
      </c>
      <c r="F9" s="161">
        <f t="shared" ref="F9:F18" si="0">(1+E9)*D9</f>
        <v>1</v>
      </c>
      <c r="G9" s="162" t="s">
        <v>16</v>
      </c>
      <c r="H9" s="163">
        <v>0</v>
      </c>
      <c r="I9" s="164">
        <f t="shared" ref="I9:I18" si="1">H9*F9</f>
        <v>0</v>
      </c>
      <c r="J9" s="165">
        <v>1</v>
      </c>
      <c r="K9" s="166" t="s">
        <v>133</v>
      </c>
      <c r="L9" s="167">
        <v>0</v>
      </c>
      <c r="M9" s="168">
        <v>0</v>
      </c>
      <c r="N9" s="165">
        <f t="shared" ref="N9:N18" si="2">M9*F9</f>
        <v>0</v>
      </c>
      <c r="O9" s="169">
        <f t="shared" ref="O9:O18" si="3">N9*L9</f>
        <v>0</v>
      </c>
      <c r="P9" s="170">
        <f t="shared" ref="P9:P18" si="4">(I9+O9)/F9</f>
        <v>0</v>
      </c>
      <c r="Q9" s="171"/>
      <c r="R9" s="94"/>
    </row>
    <row r="10" spans="1:18" s="50" customFormat="1">
      <c r="A10" s="5">
        <f>IF(D10=0,"",1+MAX(A$9:A9))</f>
        <v>2</v>
      </c>
      <c r="B10" s="42"/>
      <c r="C10" s="158" t="s">
        <v>27</v>
      </c>
      <c r="D10" s="159">
        <v>1</v>
      </c>
      <c r="E10" s="160">
        <v>0</v>
      </c>
      <c r="F10" s="161">
        <f t="shared" si="0"/>
        <v>1</v>
      </c>
      <c r="G10" s="162" t="s">
        <v>16</v>
      </c>
      <c r="H10" s="163">
        <v>0</v>
      </c>
      <c r="I10" s="164">
        <f t="shared" si="1"/>
        <v>0</v>
      </c>
      <c r="J10" s="165">
        <v>1</v>
      </c>
      <c r="K10" s="166" t="s">
        <v>133</v>
      </c>
      <c r="L10" s="167">
        <v>0</v>
      </c>
      <c r="M10" s="168">
        <v>0</v>
      </c>
      <c r="N10" s="165">
        <f t="shared" si="2"/>
        <v>0</v>
      </c>
      <c r="O10" s="169">
        <f t="shared" si="3"/>
        <v>0</v>
      </c>
      <c r="P10" s="170">
        <f t="shared" si="4"/>
        <v>0</v>
      </c>
      <c r="Q10" s="172"/>
      <c r="R10" s="94"/>
    </row>
    <row r="11" spans="1:18" s="50" customFormat="1">
      <c r="A11" s="5">
        <f>IF(D11=0,"",1+MAX(A$9:A10))</f>
        <v>3</v>
      </c>
      <c r="B11" s="43"/>
      <c r="C11" s="173" t="s">
        <v>17</v>
      </c>
      <c r="D11" s="159">
        <v>1</v>
      </c>
      <c r="E11" s="160">
        <v>0</v>
      </c>
      <c r="F11" s="161">
        <f t="shared" si="0"/>
        <v>1</v>
      </c>
      <c r="G11" s="162" t="s">
        <v>16</v>
      </c>
      <c r="H11" s="163">
        <v>0</v>
      </c>
      <c r="I11" s="164">
        <f t="shared" si="1"/>
        <v>0</v>
      </c>
      <c r="J11" s="165">
        <v>1</v>
      </c>
      <c r="K11" s="166" t="s">
        <v>133</v>
      </c>
      <c r="L11" s="167">
        <v>0</v>
      </c>
      <c r="M11" s="168">
        <v>0</v>
      </c>
      <c r="N11" s="165">
        <f t="shared" si="2"/>
        <v>0</v>
      </c>
      <c r="O11" s="169">
        <f t="shared" si="3"/>
        <v>0</v>
      </c>
      <c r="P11" s="170">
        <f t="shared" si="4"/>
        <v>0</v>
      </c>
      <c r="Q11" s="172"/>
      <c r="R11" s="94"/>
    </row>
    <row r="12" spans="1:18" s="50" customFormat="1">
      <c r="A12" s="5">
        <f>IF(D12=0,"",1+MAX(A$9:A11))</f>
        <v>4</v>
      </c>
      <c r="B12" s="43"/>
      <c r="C12" s="173" t="s">
        <v>28</v>
      </c>
      <c r="D12" s="159">
        <v>1</v>
      </c>
      <c r="E12" s="160">
        <v>0</v>
      </c>
      <c r="F12" s="161">
        <f t="shared" si="0"/>
        <v>1</v>
      </c>
      <c r="G12" s="162" t="s">
        <v>16</v>
      </c>
      <c r="H12" s="163">
        <v>0</v>
      </c>
      <c r="I12" s="164">
        <f t="shared" si="1"/>
        <v>0</v>
      </c>
      <c r="J12" s="165">
        <v>1</v>
      </c>
      <c r="K12" s="166" t="s">
        <v>133</v>
      </c>
      <c r="L12" s="167">
        <v>0</v>
      </c>
      <c r="M12" s="168">
        <v>0</v>
      </c>
      <c r="N12" s="165">
        <f t="shared" si="2"/>
        <v>0</v>
      </c>
      <c r="O12" s="169">
        <f t="shared" si="3"/>
        <v>0</v>
      </c>
      <c r="P12" s="170">
        <f t="shared" si="4"/>
        <v>0</v>
      </c>
      <c r="Q12" s="172"/>
      <c r="R12" s="94"/>
    </row>
    <row r="13" spans="1:18" s="50" customFormat="1">
      <c r="A13" s="5">
        <f>IF(D13=0,"",1+MAX(A$9:A12))</f>
        <v>5</v>
      </c>
      <c r="B13" s="43"/>
      <c r="C13" s="173" t="s">
        <v>29</v>
      </c>
      <c r="D13" s="159">
        <v>1</v>
      </c>
      <c r="E13" s="160">
        <v>0</v>
      </c>
      <c r="F13" s="161">
        <f t="shared" si="0"/>
        <v>1</v>
      </c>
      <c r="G13" s="162" t="s">
        <v>16</v>
      </c>
      <c r="H13" s="163">
        <v>0</v>
      </c>
      <c r="I13" s="164">
        <f t="shared" si="1"/>
        <v>0</v>
      </c>
      <c r="J13" s="165">
        <v>1</v>
      </c>
      <c r="K13" s="166" t="s">
        <v>133</v>
      </c>
      <c r="L13" s="167">
        <v>0</v>
      </c>
      <c r="M13" s="168">
        <v>0</v>
      </c>
      <c r="N13" s="165">
        <f t="shared" si="2"/>
        <v>0</v>
      </c>
      <c r="O13" s="169">
        <f t="shared" si="3"/>
        <v>0</v>
      </c>
      <c r="P13" s="170">
        <f t="shared" si="4"/>
        <v>0</v>
      </c>
      <c r="Q13" s="172"/>
      <c r="R13" s="94"/>
    </row>
    <row r="14" spans="1:18" s="50" customFormat="1">
      <c r="A14" s="5">
        <f>IF(D14=0,"",1+MAX(A$9:A13))</f>
        <v>6</v>
      </c>
      <c r="B14" s="43"/>
      <c r="C14" s="173" t="s">
        <v>30</v>
      </c>
      <c r="D14" s="159">
        <v>1</v>
      </c>
      <c r="E14" s="160">
        <v>0</v>
      </c>
      <c r="F14" s="161">
        <f t="shared" si="0"/>
        <v>1</v>
      </c>
      <c r="G14" s="162" t="s">
        <v>16</v>
      </c>
      <c r="H14" s="163">
        <v>0</v>
      </c>
      <c r="I14" s="164">
        <f t="shared" si="1"/>
        <v>0</v>
      </c>
      <c r="J14" s="165">
        <v>1</v>
      </c>
      <c r="K14" s="166" t="s">
        <v>133</v>
      </c>
      <c r="L14" s="167">
        <v>0</v>
      </c>
      <c r="M14" s="168">
        <v>0</v>
      </c>
      <c r="N14" s="165">
        <f t="shared" si="2"/>
        <v>0</v>
      </c>
      <c r="O14" s="169">
        <f t="shared" si="3"/>
        <v>0</v>
      </c>
      <c r="P14" s="170">
        <f t="shared" si="4"/>
        <v>0</v>
      </c>
      <c r="Q14" s="172"/>
      <c r="R14" s="94"/>
    </row>
    <row r="15" spans="1:18" s="50" customFormat="1">
      <c r="A15" s="5">
        <f>IF(D15=0,"",1+MAX(A$9:A14))</f>
        <v>7</v>
      </c>
      <c r="B15" s="43"/>
      <c r="C15" s="173" t="s">
        <v>31</v>
      </c>
      <c r="D15" s="159">
        <v>1</v>
      </c>
      <c r="E15" s="160">
        <v>0</v>
      </c>
      <c r="F15" s="161">
        <f t="shared" si="0"/>
        <v>1</v>
      </c>
      <c r="G15" s="162" t="s">
        <v>16</v>
      </c>
      <c r="H15" s="163">
        <v>0</v>
      </c>
      <c r="I15" s="164">
        <f t="shared" si="1"/>
        <v>0</v>
      </c>
      <c r="J15" s="165">
        <v>1</v>
      </c>
      <c r="K15" s="166" t="s">
        <v>133</v>
      </c>
      <c r="L15" s="167">
        <v>0</v>
      </c>
      <c r="M15" s="168">
        <v>0</v>
      </c>
      <c r="N15" s="165">
        <f t="shared" si="2"/>
        <v>0</v>
      </c>
      <c r="O15" s="169">
        <f t="shared" si="3"/>
        <v>0</v>
      </c>
      <c r="P15" s="170">
        <f t="shared" si="4"/>
        <v>0</v>
      </c>
      <c r="Q15" s="172"/>
      <c r="R15" s="94"/>
    </row>
    <row r="16" spans="1:18" s="50" customFormat="1">
      <c r="A16" s="5">
        <f>IF(D16=0,"",1+MAX(A$9:A15))</f>
        <v>8</v>
      </c>
      <c r="B16" s="43"/>
      <c r="C16" s="173" t="s">
        <v>32</v>
      </c>
      <c r="D16" s="159">
        <v>1</v>
      </c>
      <c r="E16" s="160">
        <v>0</v>
      </c>
      <c r="F16" s="161">
        <f t="shared" si="0"/>
        <v>1</v>
      </c>
      <c r="G16" s="162" t="s">
        <v>16</v>
      </c>
      <c r="H16" s="163">
        <v>0</v>
      </c>
      <c r="I16" s="164">
        <f t="shared" si="1"/>
        <v>0</v>
      </c>
      <c r="J16" s="165">
        <v>1</v>
      </c>
      <c r="K16" s="166" t="s">
        <v>133</v>
      </c>
      <c r="L16" s="167">
        <v>0</v>
      </c>
      <c r="M16" s="168">
        <v>0</v>
      </c>
      <c r="N16" s="165">
        <f t="shared" si="2"/>
        <v>0</v>
      </c>
      <c r="O16" s="169">
        <f t="shared" si="3"/>
        <v>0</v>
      </c>
      <c r="P16" s="170">
        <f t="shared" si="4"/>
        <v>0</v>
      </c>
      <c r="Q16" s="172"/>
      <c r="R16" s="94"/>
    </row>
    <row r="17" spans="1:18" s="50" customFormat="1">
      <c r="A17" s="5">
        <f>IF(D17=0,"",1+MAX(A$9:A16))</f>
        <v>9</v>
      </c>
      <c r="B17" s="44"/>
      <c r="C17" s="174" t="s">
        <v>33</v>
      </c>
      <c r="D17" s="159">
        <v>1</v>
      </c>
      <c r="E17" s="160">
        <v>0</v>
      </c>
      <c r="F17" s="161">
        <f t="shared" si="0"/>
        <v>1</v>
      </c>
      <c r="G17" s="162" t="s">
        <v>16</v>
      </c>
      <c r="H17" s="163">
        <v>0</v>
      </c>
      <c r="I17" s="164">
        <f t="shared" si="1"/>
        <v>0</v>
      </c>
      <c r="J17" s="165">
        <v>1</v>
      </c>
      <c r="K17" s="166" t="s">
        <v>133</v>
      </c>
      <c r="L17" s="167">
        <v>0</v>
      </c>
      <c r="M17" s="168">
        <v>0</v>
      </c>
      <c r="N17" s="165">
        <f t="shared" si="2"/>
        <v>0</v>
      </c>
      <c r="O17" s="169">
        <f t="shared" si="3"/>
        <v>0</v>
      </c>
      <c r="P17" s="170">
        <f t="shared" si="4"/>
        <v>0</v>
      </c>
      <c r="Q17" s="172"/>
      <c r="R17" s="94"/>
    </row>
    <row r="18" spans="1:18" s="50" customFormat="1" ht="16.5" thickBot="1">
      <c r="A18" s="5">
        <f>IF(D18=0,"",1+MAX(A$9:A17))</f>
        <v>10</v>
      </c>
      <c r="B18" s="44"/>
      <c r="C18" s="174" t="s">
        <v>34</v>
      </c>
      <c r="D18" s="159">
        <v>1</v>
      </c>
      <c r="E18" s="160">
        <v>0</v>
      </c>
      <c r="F18" s="161">
        <f t="shared" si="0"/>
        <v>1</v>
      </c>
      <c r="G18" s="162" t="s">
        <v>16</v>
      </c>
      <c r="H18" s="163">
        <v>0</v>
      </c>
      <c r="I18" s="164">
        <f t="shared" si="1"/>
        <v>0</v>
      </c>
      <c r="J18" s="165">
        <v>1</v>
      </c>
      <c r="K18" s="166" t="s">
        <v>133</v>
      </c>
      <c r="L18" s="167">
        <v>0</v>
      </c>
      <c r="M18" s="168">
        <v>0</v>
      </c>
      <c r="N18" s="165">
        <f t="shared" si="2"/>
        <v>0</v>
      </c>
      <c r="O18" s="169">
        <f t="shared" si="3"/>
        <v>0</v>
      </c>
      <c r="P18" s="170">
        <f t="shared" si="4"/>
        <v>0</v>
      </c>
      <c r="Q18" s="175"/>
      <c r="R18" s="94"/>
    </row>
    <row r="19" spans="1:18" ht="16.5" thickBot="1">
      <c r="A19" s="55" t="str">
        <f>IF(D19=0,"",1+MAX(A$9:A18))</f>
        <v/>
      </c>
      <c r="B19" s="56"/>
      <c r="C19" s="39" t="s">
        <v>18</v>
      </c>
      <c r="D19" s="7"/>
      <c r="E19" s="8"/>
      <c r="F19" s="9"/>
      <c r="G19" s="10" t="s">
        <v>35</v>
      </c>
      <c r="H19" s="9"/>
      <c r="I19" s="51">
        <f>SUM(I9:I18)</f>
        <v>0</v>
      </c>
      <c r="J19" s="51"/>
      <c r="K19" s="51"/>
      <c r="L19" s="51"/>
      <c r="M19" s="52"/>
      <c r="N19" s="10" t="s">
        <v>25</v>
      </c>
      <c r="O19" s="51">
        <f>SUM(O9:O18)</f>
        <v>0</v>
      </c>
      <c r="P19" s="53"/>
      <c r="Q19" s="85"/>
      <c r="R19" s="40">
        <f>(SUM(Q9:Q19))</f>
        <v>0</v>
      </c>
    </row>
    <row r="20" spans="1:18" s="50" customFormat="1" ht="16.5" thickBot="1">
      <c r="A20" s="73" t="str">
        <f>IF(D20=0,"",1+MAX(A$9:A19))</f>
        <v/>
      </c>
      <c r="B20" s="74"/>
      <c r="C20" s="74"/>
      <c r="D20" s="74"/>
      <c r="E20" s="74"/>
      <c r="F20" s="74"/>
      <c r="G20" s="74"/>
      <c r="H20" s="74"/>
      <c r="I20" s="74"/>
      <c r="J20" s="74"/>
      <c r="K20" s="74"/>
      <c r="L20" s="74"/>
      <c r="M20" s="74"/>
      <c r="N20" s="74"/>
      <c r="O20" s="74"/>
      <c r="P20" s="74"/>
      <c r="Q20" s="74"/>
      <c r="R20" s="75"/>
    </row>
    <row r="21" spans="1:18" s="50" customFormat="1" ht="16.5" thickBot="1">
      <c r="A21" s="76" t="str">
        <f>IF(D21=0,"",1+MAX(A$9:A20))</f>
        <v/>
      </c>
      <c r="B21" s="48" t="s">
        <v>99</v>
      </c>
      <c r="C21" s="48" t="s">
        <v>63</v>
      </c>
      <c r="D21" s="95"/>
      <c r="E21" s="95"/>
      <c r="F21" s="95"/>
      <c r="G21" s="95"/>
      <c r="H21" s="95"/>
      <c r="I21" s="95"/>
      <c r="J21" s="95"/>
      <c r="K21" s="95"/>
      <c r="L21" s="95"/>
      <c r="M21" s="95"/>
      <c r="N21" s="95"/>
      <c r="O21" s="95"/>
      <c r="P21" s="95"/>
      <c r="Q21" s="95"/>
      <c r="R21" s="96"/>
    </row>
    <row r="22" spans="1:18" s="50" customFormat="1">
      <c r="A22" s="5" t="str">
        <f>IF(D22=0,"",1+MAX(A$9:A21))</f>
        <v/>
      </c>
      <c r="B22" s="87"/>
      <c r="C22" s="176" t="s">
        <v>61</v>
      </c>
      <c r="D22" s="177"/>
      <c r="E22" s="160"/>
      <c r="F22" s="161"/>
      <c r="G22" s="177"/>
      <c r="H22" s="163"/>
      <c r="I22" s="164"/>
      <c r="J22" s="165"/>
      <c r="K22" s="166"/>
      <c r="L22" s="167"/>
      <c r="M22" s="168"/>
      <c r="N22" s="165"/>
      <c r="O22" s="169"/>
      <c r="P22" s="178"/>
      <c r="Q22" s="179"/>
      <c r="R22" s="89"/>
    </row>
    <row r="23" spans="1:18" s="50" customFormat="1">
      <c r="A23" s="5" t="str">
        <f>IF(D23=0,"",1+MAX(A$9:A22))</f>
        <v/>
      </c>
      <c r="B23" s="87"/>
      <c r="C23" s="180" t="s">
        <v>65</v>
      </c>
      <c r="D23" s="177"/>
      <c r="E23" s="177"/>
      <c r="F23" s="177"/>
      <c r="G23" s="177"/>
      <c r="H23" s="163"/>
      <c r="I23" s="164"/>
      <c r="J23" s="165"/>
      <c r="K23" s="166"/>
      <c r="L23" s="167"/>
      <c r="M23" s="168"/>
      <c r="N23" s="165"/>
      <c r="O23" s="169"/>
      <c r="P23" s="178"/>
      <c r="Q23" s="179"/>
      <c r="R23" s="89"/>
    </row>
    <row r="24" spans="1:18" s="50" customFormat="1">
      <c r="A24" s="5">
        <f>IF(D24=0,"",1+MAX(A$9:A23))</f>
        <v>11</v>
      </c>
      <c r="B24" s="87"/>
      <c r="C24" s="181" t="s">
        <v>106</v>
      </c>
      <c r="D24" s="159">
        <v>6</v>
      </c>
      <c r="E24" s="160">
        <v>0.1</v>
      </c>
      <c r="F24" s="161">
        <f t="shared" ref="F24:F25" si="5">(1+E24)*D24</f>
        <v>6.6000000000000005</v>
      </c>
      <c r="G24" s="177" t="s">
        <v>50</v>
      </c>
      <c r="H24" s="163">
        <v>140</v>
      </c>
      <c r="I24" s="164">
        <f t="shared" ref="I24:I25" si="6">H24*F24</f>
        <v>924.00000000000011</v>
      </c>
      <c r="J24" s="165">
        <v>1</v>
      </c>
      <c r="K24" s="166" t="s">
        <v>42</v>
      </c>
      <c r="L24" s="167">
        <v>38</v>
      </c>
      <c r="M24" s="168">
        <v>0.68</v>
      </c>
      <c r="N24" s="165">
        <f t="shared" ref="N24:N25" si="7">M24*F24</f>
        <v>4.4880000000000004</v>
      </c>
      <c r="O24" s="169">
        <f t="shared" ref="O24:O25" si="8">N24*L24</f>
        <v>170.54400000000001</v>
      </c>
      <c r="P24" s="178">
        <f t="shared" ref="P24:P25" si="9">(I24+O24)/F24</f>
        <v>165.84</v>
      </c>
      <c r="Q24" s="179">
        <f t="shared" ref="Q24:Q25" si="10">P24*F24</f>
        <v>1094.5440000000001</v>
      </c>
      <c r="R24" s="89"/>
    </row>
    <row r="25" spans="1:18" s="50" customFormat="1">
      <c r="A25" s="5">
        <f>IF(D25=0,"",1+MAX(A$9:A24))</f>
        <v>12</v>
      </c>
      <c r="B25" s="87"/>
      <c r="C25" s="181" t="s">
        <v>107</v>
      </c>
      <c r="D25" s="159">
        <v>4.78</v>
      </c>
      <c r="E25" s="160">
        <v>0.1</v>
      </c>
      <c r="F25" s="161">
        <f t="shared" si="5"/>
        <v>5.2580000000000009</v>
      </c>
      <c r="G25" s="177" t="s">
        <v>50</v>
      </c>
      <c r="H25" s="163">
        <v>180</v>
      </c>
      <c r="I25" s="164">
        <f t="shared" si="6"/>
        <v>946.44000000000017</v>
      </c>
      <c r="J25" s="165">
        <v>1</v>
      </c>
      <c r="K25" s="166" t="s">
        <v>42</v>
      </c>
      <c r="L25" s="167">
        <v>38</v>
      </c>
      <c r="M25" s="168">
        <v>0.72</v>
      </c>
      <c r="N25" s="165">
        <f t="shared" si="7"/>
        <v>3.7857600000000007</v>
      </c>
      <c r="O25" s="169">
        <f t="shared" si="8"/>
        <v>143.85888000000003</v>
      </c>
      <c r="P25" s="178">
        <f t="shared" si="9"/>
        <v>207.36</v>
      </c>
      <c r="Q25" s="179">
        <f t="shared" si="10"/>
        <v>1090.2988800000003</v>
      </c>
      <c r="R25" s="89"/>
    </row>
    <row r="26" spans="1:18" s="50" customFormat="1">
      <c r="A26" s="5" t="str">
        <f>IF(D26=0,"",1+MAX(A$9:A25))</f>
        <v/>
      </c>
      <c r="B26" s="87"/>
      <c r="C26" s="180" t="s">
        <v>66</v>
      </c>
      <c r="D26" s="177"/>
      <c r="E26" s="177"/>
      <c r="F26" s="177"/>
      <c r="G26" s="177"/>
      <c r="H26" s="163"/>
      <c r="I26" s="164"/>
      <c r="J26" s="165"/>
      <c r="K26" s="166"/>
      <c r="L26" s="167"/>
      <c r="M26" s="168"/>
      <c r="N26" s="165"/>
      <c r="O26" s="169"/>
      <c r="P26" s="178"/>
      <c r="Q26" s="179"/>
      <c r="R26" s="89"/>
    </row>
    <row r="27" spans="1:18" s="50" customFormat="1">
      <c r="A27" s="5">
        <f>IF(D27=0,"",1+MAX(A$9:A26))</f>
        <v>13</v>
      </c>
      <c r="B27" s="87"/>
      <c r="C27" s="181" t="s">
        <v>108</v>
      </c>
      <c r="D27" s="159">
        <v>7.72</v>
      </c>
      <c r="E27" s="160">
        <v>0.1</v>
      </c>
      <c r="F27" s="161">
        <f t="shared" ref="F27" si="11">(1+E27)*D27</f>
        <v>8.4920000000000009</v>
      </c>
      <c r="G27" s="177" t="s">
        <v>50</v>
      </c>
      <c r="H27" s="163">
        <v>160</v>
      </c>
      <c r="I27" s="164">
        <f t="shared" ref="I27" si="12">H27*F27</f>
        <v>1358.7200000000003</v>
      </c>
      <c r="J27" s="165">
        <v>1</v>
      </c>
      <c r="K27" s="166" t="s">
        <v>42</v>
      </c>
      <c r="L27" s="167">
        <v>38</v>
      </c>
      <c r="M27" s="168">
        <v>0.7</v>
      </c>
      <c r="N27" s="165">
        <f t="shared" ref="N27" si="13">M27*F27</f>
        <v>5.9443999999999999</v>
      </c>
      <c r="O27" s="169">
        <f t="shared" ref="O27" si="14">N27*L27</f>
        <v>225.88720000000001</v>
      </c>
      <c r="P27" s="178">
        <f t="shared" ref="P27" si="15">(I27+O27)/F27</f>
        <v>186.60000000000002</v>
      </c>
      <c r="Q27" s="179">
        <f t="shared" ref="Q27" si="16">P27*F27</f>
        <v>1584.6072000000004</v>
      </c>
      <c r="R27" s="89"/>
    </row>
    <row r="28" spans="1:18" s="50" customFormat="1">
      <c r="A28" s="5" t="str">
        <f>IF(D28=0,"",1+MAX(A$9:A27))</f>
        <v/>
      </c>
      <c r="B28" s="87"/>
      <c r="C28" s="180" t="s">
        <v>67</v>
      </c>
      <c r="D28" s="177"/>
      <c r="E28" s="177"/>
      <c r="F28" s="177"/>
      <c r="G28" s="177"/>
      <c r="H28" s="163"/>
      <c r="I28" s="164"/>
      <c r="J28" s="165"/>
      <c r="K28" s="166"/>
      <c r="L28" s="167"/>
      <c r="M28" s="168"/>
      <c r="N28" s="165"/>
      <c r="O28" s="169"/>
      <c r="P28" s="178"/>
      <c r="Q28" s="179"/>
      <c r="R28" s="89"/>
    </row>
    <row r="29" spans="1:18" s="50" customFormat="1">
      <c r="A29" s="5">
        <f>IF(D29=0,"",1+MAX(A$9:A28))</f>
        <v>14</v>
      </c>
      <c r="B29" s="87"/>
      <c r="C29" s="181" t="s">
        <v>109</v>
      </c>
      <c r="D29" s="159">
        <v>7.1</v>
      </c>
      <c r="E29" s="160">
        <v>0.1</v>
      </c>
      <c r="F29" s="161">
        <f t="shared" ref="F29:F30" si="17">(1+E29)*D29</f>
        <v>7.8100000000000005</v>
      </c>
      <c r="G29" s="177" t="s">
        <v>50</v>
      </c>
      <c r="H29" s="163">
        <v>85</v>
      </c>
      <c r="I29" s="164">
        <f t="shared" ref="I29:I30" si="18">H29*F29</f>
        <v>663.85</v>
      </c>
      <c r="J29" s="165">
        <v>1</v>
      </c>
      <c r="K29" s="166" t="s">
        <v>42</v>
      </c>
      <c r="L29" s="167">
        <v>38</v>
      </c>
      <c r="M29" s="168">
        <v>0.48499999999999999</v>
      </c>
      <c r="N29" s="165">
        <f t="shared" ref="N29:N30" si="19">M29*F29</f>
        <v>3.7878500000000002</v>
      </c>
      <c r="O29" s="169">
        <f t="shared" ref="O29:O30" si="20">N29*L29</f>
        <v>143.9383</v>
      </c>
      <c r="P29" s="178">
        <f t="shared" ref="P29:P30" si="21">(I29+O29)/F29</f>
        <v>103.43</v>
      </c>
      <c r="Q29" s="179">
        <f t="shared" ref="Q29:Q30" si="22">P29*F29</f>
        <v>807.78830000000005</v>
      </c>
      <c r="R29" s="89"/>
    </row>
    <row r="30" spans="1:18" s="50" customFormat="1" ht="16.5" thickBot="1">
      <c r="A30" s="5">
        <f>IF(D30=0,"",1+MAX(A$9:A29))</f>
        <v>15</v>
      </c>
      <c r="B30" s="88"/>
      <c r="C30" s="79" t="s">
        <v>110</v>
      </c>
      <c r="D30" s="60">
        <v>30.75</v>
      </c>
      <c r="E30" s="61">
        <v>0.1</v>
      </c>
      <c r="F30" s="62">
        <f t="shared" si="17"/>
        <v>33.825000000000003</v>
      </c>
      <c r="G30" s="77" t="s">
        <v>50</v>
      </c>
      <c r="H30" s="63">
        <v>110</v>
      </c>
      <c r="I30" s="64">
        <f t="shared" si="18"/>
        <v>3720.7500000000005</v>
      </c>
      <c r="J30" s="65">
        <v>1</v>
      </c>
      <c r="K30" s="66" t="s">
        <v>42</v>
      </c>
      <c r="L30" s="67">
        <v>38</v>
      </c>
      <c r="M30" s="68">
        <v>0.55000000000000004</v>
      </c>
      <c r="N30" s="69">
        <f t="shared" si="19"/>
        <v>18.603750000000002</v>
      </c>
      <c r="O30" s="70">
        <f t="shared" si="20"/>
        <v>706.94250000000011</v>
      </c>
      <c r="P30" s="71">
        <f t="shared" si="21"/>
        <v>130.9</v>
      </c>
      <c r="Q30" s="78">
        <f t="shared" si="22"/>
        <v>4427.692500000001</v>
      </c>
      <c r="R30" s="90"/>
    </row>
    <row r="31" spans="1:18" ht="16.5" thickBot="1">
      <c r="A31" s="55" t="str">
        <f>IF(D31=0,"",1+MAX(A$9:A30))</f>
        <v/>
      </c>
      <c r="B31" s="56"/>
      <c r="C31" s="39" t="s">
        <v>62</v>
      </c>
      <c r="D31" s="7"/>
      <c r="E31" s="8"/>
      <c r="F31" s="9"/>
      <c r="G31" s="10" t="s">
        <v>35</v>
      </c>
      <c r="H31" s="9"/>
      <c r="I31" s="51">
        <f>SUM(I22:I30)</f>
        <v>7613.7600000000011</v>
      </c>
      <c r="J31" s="51"/>
      <c r="K31" s="51"/>
      <c r="L31" s="51"/>
      <c r="M31" s="34"/>
      <c r="N31" s="10" t="s">
        <v>25</v>
      </c>
      <c r="O31" s="51">
        <f>SUM(O22:O30)</f>
        <v>1391.1708800000001</v>
      </c>
      <c r="P31" s="53"/>
      <c r="Q31" s="54"/>
      <c r="R31" s="40">
        <f>SUM(Q22:Q30)</f>
        <v>9004.9308800000017</v>
      </c>
    </row>
    <row r="32" spans="1:18" s="50" customFormat="1" ht="16.5" thickBot="1">
      <c r="A32" s="73" t="str">
        <f>IF(D32=0,"",1+MAX(A$9:A31))</f>
        <v/>
      </c>
      <c r="B32" s="74"/>
      <c r="C32" s="74"/>
      <c r="D32" s="74"/>
      <c r="E32" s="74"/>
      <c r="F32" s="74"/>
      <c r="G32" s="74"/>
      <c r="H32" s="74"/>
      <c r="I32" s="74"/>
      <c r="J32" s="74"/>
      <c r="K32" s="74"/>
      <c r="L32" s="74"/>
      <c r="M32" s="74"/>
      <c r="N32" s="74"/>
      <c r="O32" s="74"/>
      <c r="P32" s="74"/>
      <c r="Q32" s="74"/>
      <c r="R32" s="75"/>
    </row>
    <row r="33" spans="1:19" s="50" customFormat="1" ht="16.5" thickBot="1">
      <c r="A33" s="76" t="str">
        <f>IF(D33=0,"",1+MAX(A$9:A32))</f>
        <v/>
      </c>
      <c r="B33" s="48" t="s">
        <v>101</v>
      </c>
      <c r="C33" s="48" t="s">
        <v>100</v>
      </c>
      <c r="D33" s="95"/>
      <c r="E33" s="95"/>
      <c r="F33" s="95"/>
      <c r="G33" s="95"/>
      <c r="H33" s="95"/>
      <c r="I33" s="95"/>
      <c r="J33" s="95"/>
      <c r="K33" s="95"/>
      <c r="L33" s="95"/>
      <c r="M33" s="95"/>
      <c r="N33" s="95"/>
      <c r="O33" s="95"/>
      <c r="P33" s="95"/>
      <c r="Q33" s="95"/>
      <c r="R33" s="96"/>
    </row>
    <row r="34" spans="1:19" s="50" customFormat="1">
      <c r="A34" s="5" t="str">
        <f>IF(D34=0,"",1+MAX(A$9:A33))</f>
        <v/>
      </c>
      <c r="B34" s="43"/>
      <c r="C34" s="176" t="s">
        <v>46</v>
      </c>
      <c r="D34" s="177"/>
      <c r="E34" s="160"/>
      <c r="F34" s="161"/>
      <c r="G34" s="177"/>
      <c r="H34" s="163"/>
      <c r="I34" s="164"/>
      <c r="J34" s="165"/>
      <c r="K34" s="166"/>
      <c r="L34" s="167"/>
      <c r="M34" s="168"/>
      <c r="N34" s="165"/>
      <c r="O34" s="169"/>
      <c r="P34" s="178"/>
      <c r="Q34" s="179"/>
      <c r="R34" s="97"/>
    </row>
    <row r="35" spans="1:19" s="50" customFormat="1">
      <c r="A35" s="5" t="str">
        <f>IF(D35=0,"",1+MAX(A$9:A34))</f>
        <v/>
      </c>
      <c r="B35" s="98" t="s">
        <v>130</v>
      </c>
      <c r="C35" s="182" t="s">
        <v>69</v>
      </c>
      <c r="D35" s="177"/>
      <c r="E35" s="160"/>
      <c r="F35" s="161"/>
      <c r="G35" s="177"/>
      <c r="H35" s="163"/>
      <c r="I35" s="164"/>
      <c r="J35" s="165"/>
      <c r="K35" s="166"/>
      <c r="L35" s="167"/>
      <c r="M35" s="168"/>
      <c r="N35" s="165"/>
      <c r="O35" s="169"/>
      <c r="P35" s="178"/>
      <c r="Q35" s="179"/>
      <c r="R35" s="97"/>
    </row>
    <row r="36" spans="1:19" s="50" customFormat="1">
      <c r="A36" s="5">
        <f>IF(D36=0,"",1+MAX(A$9:A35))</f>
        <v>16</v>
      </c>
      <c r="B36" s="87"/>
      <c r="C36" s="183" t="s">
        <v>111</v>
      </c>
      <c r="D36" s="177">
        <v>1</v>
      </c>
      <c r="E36" s="160">
        <v>0</v>
      </c>
      <c r="F36" s="161">
        <f t="shared" ref="F36:F47" si="23">(1+E36)*D36</f>
        <v>1</v>
      </c>
      <c r="G36" s="177" t="s">
        <v>48</v>
      </c>
      <c r="H36" s="163">
        <f>20*16*7</f>
        <v>2240</v>
      </c>
      <c r="I36" s="164">
        <f t="shared" ref="I36" si="24">H36*F36</f>
        <v>2240</v>
      </c>
      <c r="J36" s="165">
        <v>1</v>
      </c>
      <c r="K36" s="166" t="s">
        <v>42</v>
      </c>
      <c r="L36" s="167">
        <v>38</v>
      </c>
      <c r="M36" s="168">
        <f>0.12*16*7</f>
        <v>13.44</v>
      </c>
      <c r="N36" s="165">
        <f t="shared" ref="N36" si="25">M36*F36</f>
        <v>13.44</v>
      </c>
      <c r="O36" s="169">
        <f t="shared" ref="O36" si="26">N36*L36</f>
        <v>510.71999999999997</v>
      </c>
      <c r="P36" s="178">
        <f t="shared" ref="P36" si="27">(I36+O36)/F36</f>
        <v>2750.72</v>
      </c>
      <c r="Q36" s="179">
        <f t="shared" ref="Q36" si="28">P36*F36</f>
        <v>2750.72</v>
      </c>
      <c r="R36" s="97"/>
      <c r="S36" s="80"/>
    </row>
    <row r="37" spans="1:19" s="50" customFormat="1">
      <c r="A37" s="5">
        <f>IF(D37=0,"",1+MAX(A$9:A36))</f>
        <v>17</v>
      </c>
      <c r="B37" s="87"/>
      <c r="C37" s="183" t="s">
        <v>112</v>
      </c>
      <c r="D37" s="177">
        <v>1</v>
      </c>
      <c r="E37" s="160">
        <v>0</v>
      </c>
      <c r="F37" s="161">
        <f t="shared" si="23"/>
        <v>1</v>
      </c>
      <c r="G37" s="177" t="s">
        <v>48</v>
      </c>
      <c r="H37" s="163">
        <f>46*3*6.67</f>
        <v>920.46</v>
      </c>
      <c r="I37" s="164">
        <f t="shared" ref="I37:I44" si="29">H37*F37</f>
        <v>920.46</v>
      </c>
      <c r="J37" s="165">
        <v>1</v>
      </c>
      <c r="K37" s="166" t="s">
        <v>42</v>
      </c>
      <c r="L37" s="167">
        <v>38</v>
      </c>
      <c r="M37" s="168">
        <f>0.205*3*6.67</f>
        <v>4.1020500000000002</v>
      </c>
      <c r="N37" s="165">
        <f t="shared" ref="N37:N44" si="30">M37*F37</f>
        <v>4.1020500000000002</v>
      </c>
      <c r="O37" s="169">
        <f t="shared" ref="O37:O44" si="31">N37*L37</f>
        <v>155.87790000000001</v>
      </c>
      <c r="P37" s="178">
        <f t="shared" ref="P37:P44" si="32">(I37+O37)/F37</f>
        <v>1076.3379</v>
      </c>
      <c r="Q37" s="179">
        <f t="shared" ref="Q37:Q44" si="33">P37*F37</f>
        <v>1076.3379</v>
      </c>
      <c r="R37" s="97"/>
      <c r="S37" s="80"/>
    </row>
    <row r="38" spans="1:19" s="50" customFormat="1">
      <c r="A38" s="5" t="str">
        <f>IF(D38=0,"",1+MAX(A$9:A37))</f>
        <v/>
      </c>
      <c r="B38" s="87"/>
      <c r="C38" s="182" t="s">
        <v>70</v>
      </c>
      <c r="D38" s="177"/>
      <c r="E38" s="160"/>
      <c r="F38" s="161"/>
      <c r="G38" s="177"/>
      <c r="H38" s="163"/>
      <c r="I38" s="164"/>
      <c r="J38" s="165"/>
      <c r="K38" s="166"/>
      <c r="L38" s="167"/>
      <c r="M38" s="168"/>
      <c r="N38" s="165"/>
      <c r="O38" s="169"/>
      <c r="P38" s="178"/>
      <c r="Q38" s="179"/>
      <c r="R38" s="97"/>
    </row>
    <row r="39" spans="1:19" s="50" customFormat="1">
      <c r="A39" s="5">
        <f>IF(D39=0,"",1+MAX(A$9:A38))</f>
        <v>18</v>
      </c>
      <c r="B39" s="87"/>
      <c r="C39" s="181" t="s">
        <v>113</v>
      </c>
      <c r="D39" s="159">
        <v>5</v>
      </c>
      <c r="E39" s="160">
        <v>0</v>
      </c>
      <c r="F39" s="161">
        <f t="shared" si="23"/>
        <v>5</v>
      </c>
      <c r="G39" s="177" t="s">
        <v>48</v>
      </c>
      <c r="H39" s="163">
        <f>40*2.5*6.67</f>
        <v>667</v>
      </c>
      <c r="I39" s="164">
        <f t="shared" si="29"/>
        <v>3335</v>
      </c>
      <c r="J39" s="165">
        <v>1</v>
      </c>
      <c r="K39" s="166" t="s">
        <v>42</v>
      </c>
      <c r="L39" s="167">
        <v>38</v>
      </c>
      <c r="M39" s="168">
        <f>0.2*2.5*6.67</f>
        <v>3.335</v>
      </c>
      <c r="N39" s="165">
        <f t="shared" si="30"/>
        <v>16.675000000000001</v>
      </c>
      <c r="O39" s="169">
        <f t="shared" si="31"/>
        <v>633.65</v>
      </c>
      <c r="P39" s="178">
        <f t="shared" si="32"/>
        <v>793.73</v>
      </c>
      <c r="Q39" s="179">
        <f t="shared" si="33"/>
        <v>3968.65</v>
      </c>
      <c r="R39" s="97"/>
      <c r="S39" s="80"/>
    </row>
    <row r="40" spans="1:19" s="50" customFormat="1">
      <c r="A40" s="5">
        <f>IF(D40=0,"",1+MAX(A$9:A39))</f>
        <v>19</v>
      </c>
      <c r="B40" s="87"/>
      <c r="C40" s="181" t="s">
        <v>114</v>
      </c>
      <c r="D40" s="159">
        <v>3</v>
      </c>
      <c r="E40" s="160">
        <v>0</v>
      </c>
      <c r="F40" s="161">
        <f t="shared" si="23"/>
        <v>3</v>
      </c>
      <c r="G40" s="177" t="s">
        <v>48</v>
      </c>
      <c r="H40" s="163">
        <f>40*2.67*6.67</f>
        <v>712.35599999999999</v>
      </c>
      <c r="I40" s="164">
        <f t="shared" si="29"/>
        <v>2137.0680000000002</v>
      </c>
      <c r="J40" s="165">
        <v>1</v>
      </c>
      <c r="K40" s="166" t="s">
        <v>42</v>
      </c>
      <c r="L40" s="167">
        <v>38</v>
      </c>
      <c r="M40" s="168">
        <f>0.2*2.67*6.67</f>
        <v>3.5617800000000002</v>
      </c>
      <c r="N40" s="165">
        <f t="shared" si="30"/>
        <v>10.68534</v>
      </c>
      <c r="O40" s="169">
        <f t="shared" si="31"/>
        <v>406.04291999999998</v>
      </c>
      <c r="P40" s="178">
        <f t="shared" si="32"/>
        <v>847.70364000000006</v>
      </c>
      <c r="Q40" s="179">
        <f t="shared" si="33"/>
        <v>2543.1109200000001</v>
      </c>
      <c r="R40" s="97"/>
      <c r="S40" s="80"/>
    </row>
    <row r="41" spans="1:19" s="50" customFormat="1">
      <c r="A41" s="5">
        <f>IF(D41=0,"",1+MAX(A$9:A40))</f>
        <v>20</v>
      </c>
      <c r="B41" s="87"/>
      <c r="C41" s="181" t="s">
        <v>115</v>
      </c>
      <c r="D41" s="159">
        <v>1</v>
      </c>
      <c r="E41" s="160">
        <v>0</v>
      </c>
      <c r="F41" s="161">
        <f t="shared" si="23"/>
        <v>1</v>
      </c>
      <c r="G41" s="177" t="s">
        <v>48</v>
      </c>
      <c r="H41" s="163">
        <f>40*2*6.67</f>
        <v>533.6</v>
      </c>
      <c r="I41" s="164">
        <f t="shared" si="29"/>
        <v>533.6</v>
      </c>
      <c r="J41" s="165">
        <v>1</v>
      </c>
      <c r="K41" s="166" t="s">
        <v>42</v>
      </c>
      <c r="L41" s="167">
        <v>38</v>
      </c>
      <c r="M41" s="168">
        <f>0.2*2*6.67</f>
        <v>2.6680000000000001</v>
      </c>
      <c r="N41" s="165">
        <f t="shared" si="30"/>
        <v>2.6680000000000001</v>
      </c>
      <c r="O41" s="169">
        <f t="shared" si="31"/>
        <v>101.384</v>
      </c>
      <c r="P41" s="178">
        <f t="shared" si="32"/>
        <v>634.98400000000004</v>
      </c>
      <c r="Q41" s="179">
        <f t="shared" si="33"/>
        <v>634.98400000000004</v>
      </c>
      <c r="R41" s="97"/>
      <c r="S41" s="80"/>
    </row>
    <row r="42" spans="1:19" s="50" customFormat="1">
      <c r="A42" s="5">
        <f>IF(D42=0,"",1+MAX(A$9:A41))</f>
        <v>21</v>
      </c>
      <c r="B42" s="87"/>
      <c r="C42" s="181" t="s">
        <v>116</v>
      </c>
      <c r="D42" s="159">
        <v>4</v>
      </c>
      <c r="E42" s="160">
        <v>0</v>
      </c>
      <c r="F42" s="161">
        <f t="shared" si="23"/>
        <v>4</v>
      </c>
      <c r="G42" s="177" t="s">
        <v>48</v>
      </c>
      <c r="H42" s="163">
        <f>40*2*6.67</f>
        <v>533.6</v>
      </c>
      <c r="I42" s="164">
        <f t="shared" si="29"/>
        <v>2134.4</v>
      </c>
      <c r="J42" s="165">
        <v>1</v>
      </c>
      <c r="K42" s="166" t="s">
        <v>42</v>
      </c>
      <c r="L42" s="167">
        <v>38</v>
      </c>
      <c r="M42" s="168">
        <f>0.2*2*6.67</f>
        <v>2.6680000000000001</v>
      </c>
      <c r="N42" s="165">
        <f t="shared" si="30"/>
        <v>10.672000000000001</v>
      </c>
      <c r="O42" s="169">
        <f t="shared" si="31"/>
        <v>405.536</v>
      </c>
      <c r="P42" s="178">
        <f t="shared" si="32"/>
        <v>634.98400000000004</v>
      </c>
      <c r="Q42" s="179">
        <f t="shared" si="33"/>
        <v>2539.9360000000001</v>
      </c>
      <c r="R42" s="97"/>
      <c r="S42" s="80"/>
    </row>
    <row r="43" spans="1:19" s="50" customFormat="1">
      <c r="A43" s="5">
        <f>IF(D43=0,"",1+MAX(A$9:A42))</f>
        <v>22</v>
      </c>
      <c r="B43" s="87"/>
      <c r="C43" s="181" t="s">
        <v>117</v>
      </c>
      <c r="D43" s="159">
        <v>3</v>
      </c>
      <c r="E43" s="160">
        <v>0</v>
      </c>
      <c r="F43" s="161">
        <f t="shared" si="23"/>
        <v>3</v>
      </c>
      <c r="G43" s="177" t="s">
        <v>48</v>
      </c>
      <c r="H43" s="163">
        <f>40*3*6.67</f>
        <v>800.4</v>
      </c>
      <c r="I43" s="164">
        <f t="shared" si="29"/>
        <v>2401.1999999999998</v>
      </c>
      <c r="J43" s="165">
        <v>1</v>
      </c>
      <c r="K43" s="166" t="s">
        <v>42</v>
      </c>
      <c r="L43" s="167">
        <v>38</v>
      </c>
      <c r="M43" s="168">
        <f>0.2*3*6.67</f>
        <v>4.0020000000000007</v>
      </c>
      <c r="N43" s="165">
        <f t="shared" si="30"/>
        <v>12.006000000000002</v>
      </c>
      <c r="O43" s="169">
        <f t="shared" si="31"/>
        <v>456.22800000000007</v>
      </c>
      <c r="P43" s="178">
        <f t="shared" si="32"/>
        <v>952.476</v>
      </c>
      <c r="Q43" s="179">
        <f t="shared" si="33"/>
        <v>2857.4279999999999</v>
      </c>
      <c r="R43" s="97"/>
      <c r="S43" s="80"/>
    </row>
    <row r="44" spans="1:19" s="50" customFormat="1">
      <c r="A44" s="5">
        <f>IF(D44=0,"",1+MAX(A$9:A43))</f>
        <v>23</v>
      </c>
      <c r="B44" s="87"/>
      <c r="C44" s="181" t="s">
        <v>118</v>
      </c>
      <c r="D44" s="159">
        <v>1</v>
      </c>
      <c r="E44" s="160">
        <v>0</v>
      </c>
      <c r="F44" s="161">
        <f t="shared" si="23"/>
        <v>1</v>
      </c>
      <c r="G44" s="177" t="s">
        <v>48</v>
      </c>
      <c r="H44" s="163">
        <f>40*4*6.67</f>
        <v>1067.2</v>
      </c>
      <c r="I44" s="164">
        <f t="shared" si="29"/>
        <v>1067.2</v>
      </c>
      <c r="J44" s="165">
        <v>1</v>
      </c>
      <c r="K44" s="166" t="s">
        <v>42</v>
      </c>
      <c r="L44" s="167">
        <v>38</v>
      </c>
      <c r="M44" s="168">
        <f>0.2*4*6.67</f>
        <v>5.3360000000000003</v>
      </c>
      <c r="N44" s="165">
        <f t="shared" si="30"/>
        <v>5.3360000000000003</v>
      </c>
      <c r="O44" s="169">
        <f t="shared" si="31"/>
        <v>202.768</v>
      </c>
      <c r="P44" s="178">
        <f t="shared" si="32"/>
        <v>1269.9680000000001</v>
      </c>
      <c r="Q44" s="179">
        <f t="shared" si="33"/>
        <v>1269.9680000000001</v>
      </c>
      <c r="R44" s="97"/>
      <c r="S44" s="80"/>
    </row>
    <row r="45" spans="1:19" s="50" customFormat="1">
      <c r="A45" s="5" t="str">
        <f>IF(D45=0,"",1+MAX(A$9:A44))</f>
        <v/>
      </c>
      <c r="B45" s="87"/>
      <c r="C45" s="184" t="s">
        <v>49</v>
      </c>
      <c r="D45" s="177"/>
      <c r="E45" s="160"/>
      <c r="F45" s="161"/>
      <c r="G45" s="177"/>
      <c r="H45" s="163"/>
      <c r="I45" s="164"/>
      <c r="J45" s="165"/>
      <c r="K45" s="166"/>
      <c r="L45" s="167"/>
      <c r="M45" s="168"/>
      <c r="N45" s="165"/>
      <c r="O45" s="169"/>
      <c r="P45" s="178"/>
      <c r="Q45" s="179"/>
      <c r="R45" s="97"/>
    </row>
    <row r="46" spans="1:19" s="50" customFormat="1">
      <c r="A46" s="5">
        <f>IF(D46=0,"",1+MAX(A$9:A45))</f>
        <v>24</v>
      </c>
      <c r="B46" s="87"/>
      <c r="C46" s="183" t="s">
        <v>119</v>
      </c>
      <c r="D46" s="177">
        <v>2</v>
      </c>
      <c r="E46" s="160">
        <v>0</v>
      </c>
      <c r="F46" s="161">
        <f t="shared" si="23"/>
        <v>2</v>
      </c>
      <c r="G46" s="177" t="s">
        <v>48</v>
      </c>
      <c r="H46" s="163">
        <v>300</v>
      </c>
      <c r="I46" s="164">
        <f t="shared" ref="I46:I47" si="34">H46*F46</f>
        <v>600</v>
      </c>
      <c r="J46" s="165">
        <v>1</v>
      </c>
      <c r="K46" s="166" t="s">
        <v>42</v>
      </c>
      <c r="L46" s="167">
        <v>38</v>
      </c>
      <c r="M46" s="168">
        <v>3</v>
      </c>
      <c r="N46" s="165">
        <f t="shared" ref="N46:N47" si="35">M46*F46</f>
        <v>6</v>
      </c>
      <c r="O46" s="169">
        <f t="shared" ref="O46:O47" si="36">N46*L46</f>
        <v>228</v>
      </c>
      <c r="P46" s="178">
        <f t="shared" ref="P46:P47" si="37">(I46+O46)/F46</f>
        <v>414</v>
      </c>
      <c r="Q46" s="179">
        <f t="shared" ref="Q46:Q47" si="38">P46*F46</f>
        <v>828</v>
      </c>
      <c r="R46" s="97"/>
    </row>
    <row r="47" spans="1:19" s="50" customFormat="1" ht="16.5" thickBot="1">
      <c r="A47" s="5">
        <f>IF(D47=0,"",1+MAX(A$9:A46))</f>
        <v>25</v>
      </c>
      <c r="B47" s="87"/>
      <c r="C47" s="183" t="s">
        <v>120</v>
      </c>
      <c r="D47" s="177">
        <v>17</v>
      </c>
      <c r="E47" s="160">
        <v>0</v>
      </c>
      <c r="F47" s="161">
        <f t="shared" si="23"/>
        <v>17</v>
      </c>
      <c r="G47" s="177" t="s">
        <v>48</v>
      </c>
      <c r="H47" s="163">
        <v>350</v>
      </c>
      <c r="I47" s="164">
        <f t="shared" si="34"/>
        <v>5950</v>
      </c>
      <c r="J47" s="165">
        <v>1</v>
      </c>
      <c r="K47" s="166" t="s">
        <v>42</v>
      </c>
      <c r="L47" s="167">
        <v>38</v>
      </c>
      <c r="M47" s="168">
        <v>3.5</v>
      </c>
      <c r="N47" s="165">
        <f t="shared" si="35"/>
        <v>59.5</v>
      </c>
      <c r="O47" s="169">
        <f t="shared" si="36"/>
        <v>2261</v>
      </c>
      <c r="P47" s="178">
        <f t="shared" si="37"/>
        <v>483</v>
      </c>
      <c r="Q47" s="179">
        <f t="shared" si="38"/>
        <v>8211</v>
      </c>
      <c r="R47" s="97"/>
    </row>
    <row r="48" spans="1:19" ht="16.5" thickBot="1">
      <c r="A48" s="55" t="str">
        <f>IF(D48=0,"",1+MAX(A$9:A47))</f>
        <v/>
      </c>
      <c r="B48" s="56"/>
      <c r="C48" s="39" t="s">
        <v>19</v>
      </c>
      <c r="D48" s="7"/>
      <c r="E48" s="8"/>
      <c r="F48" s="9"/>
      <c r="G48" s="10" t="s">
        <v>35</v>
      </c>
      <c r="H48" s="9"/>
      <c r="I48" s="51">
        <f>SUM(I34:I47)</f>
        <v>21318.928</v>
      </c>
      <c r="J48" s="51"/>
      <c r="K48" s="51"/>
      <c r="L48" s="51"/>
      <c r="M48" s="52"/>
      <c r="N48" s="10" t="s">
        <v>25</v>
      </c>
      <c r="O48" s="51">
        <f>SUM(O34:O47)</f>
        <v>5361.2068199999994</v>
      </c>
      <c r="P48" s="53"/>
      <c r="Q48" s="54"/>
      <c r="R48" s="40">
        <f>(SUM(Q34:Q48))</f>
        <v>26680.134819999999</v>
      </c>
    </row>
    <row r="49" spans="1:18" s="50" customFormat="1" ht="16.5" thickBot="1">
      <c r="A49" s="73" t="str">
        <f>IF(D49=0,"",1+MAX(A$9:A48))</f>
        <v/>
      </c>
      <c r="B49" s="74"/>
      <c r="C49" s="74"/>
      <c r="D49" s="74"/>
      <c r="E49" s="74"/>
      <c r="F49" s="74"/>
      <c r="G49" s="74"/>
      <c r="H49" s="74"/>
      <c r="I49" s="74"/>
      <c r="J49" s="74"/>
      <c r="K49" s="74"/>
      <c r="L49" s="74"/>
      <c r="M49" s="74"/>
      <c r="N49" s="74"/>
      <c r="O49" s="74"/>
      <c r="P49" s="74"/>
      <c r="Q49" s="74"/>
      <c r="R49" s="75"/>
    </row>
    <row r="50" spans="1:18" s="50" customFormat="1" ht="16.5" thickBot="1">
      <c r="A50" s="76" t="str">
        <f>IF(D50=0,"",1+MAX(A$9:A49))</f>
        <v/>
      </c>
      <c r="B50" s="48" t="s">
        <v>102</v>
      </c>
      <c r="C50" s="48" t="s">
        <v>103</v>
      </c>
      <c r="D50" s="95"/>
      <c r="E50" s="95"/>
      <c r="F50" s="95"/>
      <c r="G50" s="95"/>
      <c r="H50" s="95"/>
      <c r="I50" s="95"/>
      <c r="J50" s="95"/>
      <c r="K50" s="95"/>
      <c r="L50" s="95"/>
      <c r="M50" s="95"/>
      <c r="N50" s="95"/>
      <c r="O50" s="95"/>
      <c r="P50" s="95"/>
      <c r="Q50" s="95"/>
      <c r="R50" s="96"/>
    </row>
    <row r="51" spans="1:18" s="50" customFormat="1">
      <c r="A51" s="5" t="str">
        <f>IF(D51=0,"",1+MAX(A$9:A50))</f>
        <v/>
      </c>
      <c r="B51" s="43"/>
      <c r="C51" s="176" t="s">
        <v>51</v>
      </c>
      <c r="D51" s="177"/>
      <c r="E51" s="177"/>
      <c r="F51" s="177"/>
      <c r="G51" s="177"/>
      <c r="H51" s="163"/>
      <c r="I51" s="164"/>
      <c r="J51" s="165"/>
      <c r="K51" s="166"/>
      <c r="L51" s="167"/>
      <c r="M51" s="168"/>
      <c r="N51" s="165"/>
      <c r="O51" s="169"/>
      <c r="P51" s="178"/>
      <c r="Q51" s="179"/>
      <c r="R51" s="156"/>
    </row>
    <row r="52" spans="1:18" s="50" customFormat="1">
      <c r="A52" s="5" t="str">
        <f>IF(D52=0,"",1+MAX(A$9:A51))</f>
        <v/>
      </c>
      <c r="B52" s="72">
        <v>4</v>
      </c>
      <c r="C52" s="182" t="s">
        <v>68</v>
      </c>
      <c r="D52" s="177"/>
      <c r="E52" s="160"/>
      <c r="F52" s="161"/>
      <c r="G52" s="177"/>
      <c r="H52" s="163"/>
      <c r="I52" s="164"/>
      <c r="J52" s="165"/>
      <c r="K52" s="166"/>
      <c r="L52" s="167"/>
      <c r="M52" s="168"/>
      <c r="N52" s="165"/>
      <c r="O52" s="169"/>
      <c r="P52" s="178"/>
      <c r="Q52" s="179"/>
      <c r="R52" s="156"/>
    </row>
    <row r="53" spans="1:18" s="50" customFormat="1">
      <c r="A53" s="5">
        <f>IF(D53=0,"",1+MAX(A$9:A52))</f>
        <v>26</v>
      </c>
      <c r="B53" s="157"/>
      <c r="C53" s="185" t="s">
        <v>71</v>
      </c>
      <c r="D53" s="177">
        <v>4567</v>
      </c>
      <c r="E53" s="186">
        <v>0.1</v>
      </c>
      <c r="F53" s="159">
        <f t="shared" ref="F53:F64" si="39">(1+E53)*D53</f>
        <v>5023.7000000000007</v>
      </c>
      <c r="G53" s="187" t="s">
        <v>52</v>
      </c>
      <c r="H53" s="163">
        <v>0.495</v>
      </c>
      <c r="I53" s="164">
        <f t="shared" ref="I53" si="40">H53*F53</f>
        <v>2486.7315000000003</v>
      </c>
      <c r="J53" s="165">
        <v>2</v>
      </c>
      <c r="K53" s="166" t="s">
        <v>134</v>
      </c>
      <c r="L53" s="167">
        <v>38</v>
      </c>
      <c r="M53" s="168">
        <v>1.7000000000000001E-2</v>
      </c>
      <c r="N53" s="165">
        <f>M53*F53</f>
        <v>85.402900000000017</v>
      </c>
      <c r="O53" s="169">
        <f>N53*L53</f>
        <v>3245.3102000000008</v>
      </c>
      <c r="P53" s="178">
        <f t="shared" ref="P53" si="41">(I53+O53)/F53</f>
        <v>1.1410000000000002</v>
      </c>
      <c r="Q53" s="179">
        <f t="shared" ref="Q53" si="42">P53*F53</f>
        <v>5732.0417000000016</v>
      </c>
      <c r="R53" s="156"/>
    </row>
    <row r="54" spans="1:18" s="50" customFormat="1">
      <c r="A54" s="5">
        <f>IF(D54=0,"",1+MAX(A$9:A53))</f>
        <v>27</v>
      </c>
      <c r="B54" s="157"/>
      <c r="C54" s="188" t="s">
        <v>105</v>
      </c>
      <c r="D54" s="189">
        <f>D53/32</f>
        <v>142.71875</v>
      </c>
      <c r="E54" s="190">
        <v>0</v>
      </c>
      <c r="F54" s="191">
        <f t="shared" si="39"/>
        <v>142.71875</v>
      </c>
      <c r="G54" s="192" t="s">
        <v>48</v>
      </c>
      <c r="H54" s="163"/>
      <c r="I54" s="164"/>
      <c r="J54" s="165"/>
      <c r="K54" s="166"/>
      <c r="L54" s="167"/>
      <c r="M54" s="168"/>
      <c r="N54" s="165"/>
      <c r="O54" s="169"/>
      <c r="P54" s="178"/>
      <c r="Q54" s="179"/>
      <c r="R54" s="156"/>
    </row>
    <row r="55" spans="1:18" s="50" customFormat="1">
      <c r="A55" s="5">
        <f>IF(D55=0,"",1+MAX(A$9:A54))</f>
        <v>28</v>
      </c>
      <c r="B55" s="157"/>
      <c r="C55" s="188" t="s">
        <v>73</v>
      </c>
      <c r="D55" s="189">
        <f>D53*0.031</f>
        <v>141.577</v>
      </c>
      <c r="E55" s="190">
        <v>0</v>
      </c>
      <c r="F55" s="191">
        <f t="shared" si="39"/>
        <v>141.577</v>
      </c>
      <c r="G55" s="192" t="s">
        <v>76</v>
      </c>
      <c r="H55" s="163">
        <v>9.01</v>
      </c>
      <c r="I55" s="164">
        <f t="shared" ref="I55:I58" si="43">H55*F55</f>
        <v>1275.60877</v>
      </c>
      <c r="J55" s="165">
        <v>2</v>
      </c>
      <c r="K55" s="166" t="s">
        <v>134</v>
      </c>
      <c r="L55" s="167">
        <v>38</v>
      </c>
      <c r="M55" s="168">
        <v>0.34</v>
      </c>
      <c r="N55" s="165">
        <f t="shared" ref="N55:N58" si="44">M55*F55</f>
        <v>48.136180000000003</v>
      </c>
      <c r="O55" s="169">
        <f t="shared" ref="O55:O58" si="45">N55*L55</f>
        <v>1829.1748400000001</v>
      </c>
      <c r="P55" s="178">
        <f t="shared" ref="P55:P58" si="46">(I55+O55)/F55</f>
        <v>21.930000000000003</v>
      </c>
      <c r="Q55" s="179">
        <f t="shared" ref="Q55:Q58" si="47">P55*F55</f>
        <v>3104.7836100000004</v>
      </c>
      <c r="R55" s="156"/>
    </row>
    <row r="56" spans="1:18" s="50" customFormat="1">
      <c r="A56" s="5">
        <f>IF(D56=0,"",1+MAX(A$9:A55))</f>
        <v>29</v>
      </c>
      <c r="B56" s="157"/>
      <c r="C56" s="188" t="s">
        <v>104</v>
      </c>
      <c r="D56" s="193">
        <f>D54*12</f>
        <v>1712.625</v>
      </c>
      <c r="E56" s="190">
        <v>0.1</v>
      </c>
      <c r="F56" s="194">
        <f t="shared" si="39"/>
        <v>1883.8875</v>
      </c>
      <c r="G56" s="192" t="s">
        <v>50</v>
      </c>
      <c r="H56" s="163">
        <v>0.06</v>
      </c>
      <c r="I56" s="164">
        <f t="shared" si="43"/>
        <v>113.03325</v>
      </c>
      <c r="J56" s="165">
        <v>2</v>
      </c>
      <c r="K56" s="166" t="s">
        <v>134</v>
      </c>
      <c r="L56" s="167">
        <v>38</v>
      </c>
      <c r="M56" s="168">
        <v>1.0999999999999999E-2</v>
      </c>
      <c r="N56" s="165">
        <f t="shared" si="44"/>
        <v>20.722762499999998</v>
      </c>
      <c r="O56" s="169">
        <f t="shared" si="45"/>
        <v>787.46497499999998</v>
      </c>
      <c r="P56" s="178">
        <f t="shared" si="46"/>
        <v>0.47799999999999998</v>
      </c>
      <c r="Q56" s="179">
        <f t="shared" si="47"/>
        <v>900.49822499999993</v>
      </c>
      <c r="R56" s="156"/>
    </row>
    <row r="57" spans="1:18" s="50" customFormat="1">
      <c r="A57" s="5">
        <f>IF(D57=0,"",1+MAX(A$9:A56))</f>
        <v>30</v>
      </c>
      <c r="B57" s="157"/>
      <c r="C57" s="188" t="s">
        <v>74</v>
      </c>
      <c r="D57" s="189">
        <f>D54*48</f>
        <v>6850.5</v>
      </c>
      <c r="E57" s="190">
        <v>0</v>
      </c>
      <c r="F57" s="191">
        <f t="shared" si="39"/>
        <v>6850.5</v>
      </c>
      <c r="G57" s="192" t="s">
        <v>48</v>
      </c>
      <c r="H57" s="163">
        <v>0.08</v>
      </c>
      <c r="I57" s="164">
        <f t="shared" si="43"/>
        <v>548.04</v>
      </c>
      <c r="J57" s="165">
        <v>2</v>
      </c>
      <c r="K57" s="166" t="s">
        <v>134</v>
      </c>
      <c r="L57" s="167">
        <v>38</v>
      </c>
      <c r="M57" s="168">
        <v>2E-3</v>
      </c>
      <c r="N57" s="165">
        <f t="shared" si="44"/>
        <v>13.701000000000001</v>
      </c>
      <c r="O57" s="169">
        <f t="shared" si="45"/>
        <v>520.63800000000003</v>
      </c>
      <c r="P57" s="178">
        <f t="shared" si="46"/>
        <v>0.15599999999999997</v>
      </c>
      <c r="Q57" s="179">
        <f t="shared" si="47"/>
        <v>1068.6779999999999</v>
      </c>
      <c r="R57" s="156"/>
    </row>
    <row r="58" spans="1:18" s="50" customFormat="1">
      <c r="A58" s="5">
        <f>IF(D58=0,"",1+MAX(A$9:A57))</f>
        <v>31</v>
      </c>
      <c r="B58" s="157"/>
      <c r="C58" s="188" t="s">
        <v>75</v>
      </c>
      <c r="D58" s="189">
        <f>D53*0.053</f>
        <v>242.05099999999999</v>
      </c>
      <c r="E58" s="190">
        <v>0.1</v>
      </c>
      <c r="F58" s="191">
        <f t="shared" si="39"/>
        <v>266.2561</v>
      </c>
      <c r="G58" s="192" t="s">
        <v>77</v>
      </c>
      <c r="H58" s="163">
        <v>0.75</v>
      </c>
      <c r="I58" s="164">
        <f t="shared" si="43"/>
        <v>199.69207499999999</v>
      </c>
      <c r="J58" s="165">
        <v>2</v>
      </c>
      <c r="K58" s="166" t="s">
        <v>134</v>
      </c>
      <c r="L58" s="167">
        <v>38</v>
      </c>
      <c r="M58" s="168">
        <v>0.11</v>
      </c>
      <c r="N58" s="165">
        <f t="shared" si="44"/>
        <v>29.288171000000002</v>
      </c>
      <c r="O58" s="169">
        <f t="shared" si="45"/>
        <v>1112.9504980000002</v>
      </c>
      <c r="P58" s="178">
        <f t="shared" si="46"/>
        <v>4.9300000000000006</v>
      </c>
      <c r="Q58" s="179">
        <f t="shared" si="47"/>
        <v>1312.6425730000001</v>
      </c>
      <c r="R58" s="156"/>
    </row>
    <row r="59" spans="1:18" s="50" customFormat="1">
      <c r="A59" s="5">
        <f>IF(D59=0,"",1+MAX(A$9:A58))</f>
        <v>32</v>
      </c>
      <c r="B59" s="157"/>
      <c r="C59" s="185" t="s">
        <v>78</v>
      </c>
      <c r="D59" s="177">
        <v>358</v>
      </c>
      <c r="E59" s="186">
        <v>0.1</v>
      </c>
      <c r="F59" s="159">
        <f t="shared" si="39"/>
        <v>393.8</v>
      </c>
      <c r="G59" s="187" t="s">
        <v>52</v>
      </c>
      <c r="H59" s="163">
        <v>0.74</v>
      </c>
      <c r="I59" s="164">
        <f t="shared" ref="I59" si="48">H59*F59</f>
        <v>291.41199999999998</v>
      </c>
      <c r="J59" s="165">
        <v>2</v>
      </c>
      <c r="K59" s="166" t="s">
        <v>134</v>
      </c>
      <c r="L59" s="167">
        <v>38</v>
      </c>
      <c r="M59" s="168">
        <v>1.7999999999999999E-2</v>
      </c>
      <c r="N59" s="165">
        <f>M59*F59</f>
        <v>7.0884</v>
      </c>
      <c r="O59" s="169">
        <f>N59*L59</f>
        <v>269.35919999999999</v>
      </c>
      <c r="P59" s="178">
        <f t="shared" ref="P59" si="49">(I59+O59)/F59</f>
        <v>1.4239999999999997</v>
      </c>
      <c r="Q59" s="179">
        <f t="shared" ref="Q59" si="50">P59*F59</f>
        <v>560.77119999999991</v>
      </c>
      <c r="R59" s="156"/>
    </row>
    <row r="60" spans="1:18" s="50" customFormat="1">
      <c r="A60" s="5">
        <f>IF(D60=0,"",1+MAX(A$9:A59))</f>
        <v>33</v>
      </c>
      <c r="B60" s="157"/>
      <c r="C60" s="188" t="s">
        <v>105</v>
      </c>
      <c r="D60" s="189">
        <f>D59/32</f>
        <v>11.1875</v>
      </c>
      <c r="E60" s="190">
        <v>0</v>
      </c>
      <c r="F60" s="191">
        <f t="shared" si="39"/>
        <v>11.1875</v>
      </c>
      <c r="G60" s="192" t="s">
        <v>48</v>
      </c>
      <c r="H60" s="163"/>
      <c r="I60" s="164"/>
      <c r="J60" s="165"/>
      <c r="K60" s="166"/>
      <c r="L60" s="167"/>
      <c r="M60" s="168"/>
      <c r="N60" s="165"/>
      <c r="O60" s="169"/>
      <c r="P60" s="178"/>
      <c r="Q60" s="179"/>
      <c r="R60" s="156"/>
    </row>
    <row r="61" spans="1:18" s="50" customFormat="1">
      <c r="A61" s="5">
        <f>IF(D61=0,"",1+MAX(A$9:A60))</f>
        <v>34</v>
      </c>
      <c r="B61" s="157"/>
      <c r="C61" s="188" t="s">
        <v>73</v>
      </c>
      <c r="D61" s="189">
        <f>D59*0.031</f>
        <v>11.098000000000001</v>
      </c>
      <c r="E61" s="190">
        <v>0</v>
      </c>
      <c r="F61" s="191">
        <f t="shared" si="39"/>
        <v>11.098000000000001</v>
      </c>
      <c r="G61" s="192" t="s">
        <v>76</v>
      </c>
      <c r="H61" s="163">
        <v>9.01</v>
      </c>
      <c r="I61" s="164">
        <f t="shared" ref="I61:I64" si="51">H61*F61</f>
        <v>99.992980000000003</v>
      </c>
      <c r="J61" s="165">
        <v>2</v>
      </c>
      <c r="K61" s="166" t="s">
        <v>134</v>
      </c>
      <c r="L61" s="167">
        <v>38</v>
      </c>
      <c r="M61" s="168">
        <v>0.34</v>
      </c>
      <c r="N61" s="165">
        <f t="shared" ref="N61:N64" si="52">M61*F61</f>
        <v>3.7733200000000005</v>
      </c>
      <c r="O61" s="169">
        <f t="shared" ref="O61:O64" si="53">N61*L61</f>
        <v>143.38616000000002</v>
      </c>
      <c r="P61" s="178">
        <f t="shared" ref="P61:P64" si="54">(I61+O61)/F61</f>
        <v>21.93</v>
      </c>
      <c r="Q61" s="179">
        <f t="shared" ref="Q61:Q64" si="55">P61*F61</f>
        <v>243.37914000000001</v>
      </c>
      <c r="R61" s="156"/>
    </row>
    <row r="62" spans="1:18" s="50" customFormat="1">
      <c r="A62" s="5">
        <f>IF(D62=0,"",1+MAX(A$9:A61))</f>
        <v>35</v>
      </c>
      <c r="B62" s="157"/>
      <c r="C62" s="188" t="s">
        <v>104</v>
      </c>
      <c r="D62" s="193">
        <f>D60*12</f>
        <v>134.25</v>
      </c>
      <c r="E62" s="190">
        <v>0.1</v>
      </c>
      <c r="F62" s="194">
        <f t="shared" si="39"/>
        <v>147.67500000000001</v>
      </c>
      <c r="G62" s="192" t="s">
        <v>50</v>
      </c>
      <c r="H62" s="163">
        <v>0.06</v>
      </c>
      <c r="I62" s="164">
        <f t="shared" si="51"/>
        <v>8.8605</v>
      </c>
      <c r="J62" s="165">
        <v>2</v>
      </c>
      <c r="K62" s="166" t="s">
        <v>134</v>
      </c>
      <c r="L62" s="167">
        <v>38</v>
      </c>
      <c r="M62" s="168">
        <v>1.0999999999999999E-2</v>
      </c>
      <c r="N62" s="165">
        <f t="shared" si="52"/>
        <v>1.624425</v>
      </c>
      <c r="O62" s="169">
        <f t="shared" si="53"/>
        <v>61.728149999999999</v>
      </c>
      <c r="P62" s="178">
        <f t="shared" si="54"/>
        <v>0.47799999999999998</v>
      </c>
      <c r="Q62" s="179">
        <f t="shared" si="55"/>
        <v>70.588650000000001</v>
      </c>
      <c r="R62" s="156"/>
    </row>
    <row r="63" spans="1:18" s="50" customFormat="1">
      <c r="A63" s="5">
        <f>IF(D63=0,"",1+MAX(A$9:A62))</f>
        <v>36</v>
      </c>
      <c r="B63" s="157"/>
      <c r="C63" s="188" t="s">
        <v>74</v>
      </c>
      <c r="D63" s="189">
        <f>D60*48</f>
        <v>537</v>
      </c>
      <c r="E63" s="190">
        <v>0</v>
      </c>
      <c r="F63" s="191">
        <f t="shared" si="39"/>
        <v>537</v>
      </c>
      <c r="G63" s="192" t="s">
        <v>48</v>
      </c>
      <c r="H63" s="163">
        <v>0.08</v>
      </c>
      <c r="I63" s="164">
        <f t="shared" si="51"/>
        <v>42.96</v>
      </c>
      <c r="J63" s="165">
        <v>2</v>
      </c>
      <c r="K63" s="166" t="s">
        <v>134</v>
      </c>
      <c r="L63" s="167">
        <v>38</v>
      </c>
      <c r="M63" s="168">
        <v>2E-3</v>
      </c>
      <c r="N63" s="165">
        <f t="shared" si="52"/>
        <v>1.0740000000000001</v>
      </c>
      <c r="O63" s="169">
        <f t="shared" si="53"/>
        <v>40.812000000000005</v>
      </c>
      <c r="P63" s="178">
        <f t="shared" si="54"/>
        <v>0.156</v>
      </c>
      <c r="Q63" s="179">
        <f t="shared" si="55"/>
        <v>83.772000000000006</v>
      </c>
      <c r="R63" s="156"/>
    </row>
    <row r="64" spans="1:18" s="50" customFormat="1">
      <c r="A64" s="5">
        <f>IF(D64=0,"",1+MAX(A$9:A63))</f>
        <v>37</v>
      </c>
      <c r="B64" s="157"/>
      <c r="C64" s="188" t="s">
        <v>75</v>
      </c>
      <c r="D64" s="189">
        <f>D59*0.053</f>
        <v>18.974</v>
      </c>
      <c r="E64" s="190">
        <v>0.1</v>
      </c>
      <c r="F64" s="191">
        <f t="shared" si="39"/>
        <v>20.871400000000001</v>
      </c>
      <c r="G64" s="192" t="s">
        <v>77</v>
      </c>
      <c r="H64" s="163">
        <v>0.75</v>
      </c>
      <c r="I64" s="164">
        <f t="shared" si="51"/>
        <v>15.653550000000001</v>
      </c>
      <c r="J64" s="165">
        <v>2</v>
      </c>
      <c r="K64" s="166" t="s">
        <v>134</v>
      </c>
      <c r="L64" s="167">
        <v>38</v>
      </c>
      <c r="M64" s="168">
        <v>0.11</v>
      </c>
      <c r="N64" s="165">
        <f t="shared" si="52"/>
        <v>2.2958540000000003</v>
      </c>
      <c r="O64" s="169">
        <f t="shared" si="53"/>
        <v>87.242452000000014</v>
      </c>
      <c r="P64" s="178">
        <f t="shared" si="54"/>
        <v>4.9300000000000006</v>
      </c>
      <c r="Q64" s="179">
        <f t="shared" si="55"/>
        <v>102.89600200000002</v>
      </c>
      <c r="R64" s="156"/>
    </row>
    <row r="65" spans="1:18" s="50" customFormat="1">
      <c r="A65" s="5">
        <f>IF(D65=0,"",1+MAX(A$9:A64))</f>
        <v>38</v>
      </c>
      <c r="B65" s="157"/>
      <c r="C65" s="185" t="s">
        <v>79</v>
      </c>
      <c r="D65" s="177">
        <v>89</v>
      </c>
      <c r="E65" s="186">
        <v>0.1</v>
      </c>
      <c r="F65" s="159">
        <f t="shared" ref="F65:F70" si="56">(1+E65)*D65</f>
        <v>97.9</v>
      </c>
      <c r="G65" s="187" t="s">
        <v>52</v>
      </c>
      <c r="H65" s="163">
        <v>1.38</v>
      </c>
      <c r="I65" s="164">
        <f t="shared" ref="I65:I106" si="57">H65*F65</f>
        <v>135.102</v>
      </c>
      <c r="J65" s="165">
        <v>2</v>
      </c>
      <c r="K65" s="166" t="s">
        <v>134</v>
      </c>
      <c r="L65" s="167">
        <v>38</v>
      </c>
      <c r="M65" s="168">
        <v>2.1999999999999999E-2</v>
      </c>
      <c r="N65" s="165">
        <f>M65*F65</f>
        <v>2.1537999999999999</v>
      </c>
      <c r="O65" s="169">
        <f>N65*L65</f>
        <v>81.844399999999993</v>
      </c>
      <c r="P65" s="178">
        <f t="shared" ref="P65:P106" si="58">(I65+O65)/F65</f>
        <v>2.2159999999999997</v>
      </c>
      <c r="Q65" s="179">
        <f t="shared" ref="Q65:Q106" si="59">P65*F65</f>
        <v>216.94639999999998</v>
      </c>
      <c r="R65" s="156"/>
    </row>
    <row r="66" spans="1:18" s="50" customFormat="1">
      <c r="A66" s="5">
        <f>IF(D66=0,"",1+MAX(A$9:A65))</f>
        <v>39</v>
      </c>
      <c r="B66" s="157"/>
      <c r="C66" s="188" t="s">
        <v>105</v>
      </c>
      <c r="D66" s="189">
        <f>D65/32</f>
        <v>2.78125</v>
      </c>
      <c r="E66" s="190">
        <v>0</v>
      </c>
      <c r="F66" s="191">
        <f t="shared" si="56"/>
        <v>2.78125</v>
      </c>
      <c r="G66" s="192" t="s">
        <v>48</v>
      </c>
      <c r="H66" s="163"/>
      <c r="I66" s="164"/>
      <c r="J66" s="165"/>
      <c r="K66" s="166"/>
      <c r="L66" s="167"/>
      <c r="M66" s="168"/>
      <c r="N66" s="165"/>
      <c r="O66" s="169"/>
      <c r="P66" s="178"/>
      <c r="Q66" s="179"/>
      <c r="R66" s="156"/>
    </row>
    <row r="67" spans="1:18" s="50" customFormat="1">
      <c r="A67" s="5">
        <f>IF(D67=0,"",1+MAX(A$9:A66))</f>
        <v>40</v>
      </c>
      <c r="B67" s="157"/>
      <c r="C67" s="188" t="s">
        <v>73</v>
      </c>
      <c r="D67" s="189">
        <f>D65*0.031</f>
        <v>2.7589999999999999</v>
      </c>
      <c r="E67" s="190">
        <v>0</v>
      </c>
      <c r="F67" s="191">
        <f t="shared" si="56"/>
        <v>2.7589999999999999</v>
      </c>
      <c r="G67" s="192" t="s">
        <v>76</v>
      </c>
      <c r="H67" s="163">
        <v>9.01</v>
      </c>
      <c r="I67" s="164">
        <f t="shared" ref="I67:I70" si="60">H67*F67</f>
        <v>24.85859</v>
      </c>
      <c r="J67" s="165">
        <v>2</v>
      </c>
      <c r="K67" s="166" t="s">
        <v>134</v>
      </c>
      <c r="L67" s="167">
        <v>38</v>
      </c>
      <c r="M67" s="168">
        <v>0.34</v>
      </c>
      <c r="N67" s="165">
        <f t="shared" ref="N67:N70" si="61">M67*F67</f>
        <v>0.93806</v>
      </c>
      <c r="O67" s="169">
        <f t="shared" ref="O67:O70" si="62">N67*L67</f>
        <v>35.646279999999997</v>
      </c>
      <c r="P67" s="178">
        <f t="shared" ref="P67:P70" si="63">(I67+O67)/F67</f>
        <v>21.93</v>
      </c>
      <c r="Q67" s="179">
        <f t="shared" ref="Q67:Q70" si="64">P67*F67</f>
        <v>60.504869999999997</v>
      </c>
      <c r="R67" s="156"/>
    </row>
    <row r="68" spans="1:18" s="50" customFormat="1">
      <c r="A68" s="5">
        <f>IF(D68=0,"",1+MAX(A$9:A67))</f>
        <v>41</v>
      </c>
      <c r="B68" s="157"/>
      <c r="C68" s="188" t="s">
        <v>104</v>
      </c>
      <c r="D68" s="193">
        <f>D66*12</f>
        <v>33.375</v>
      </c>
      <c r="E68" s="190">
        <v>0.1</v>
      </c>
      <c r="F68" s="194">
        <f t="shared" si="56"/>
        <v>36.712500000000006</v>
      </c>
      <c r="G68" s="192" t="s">
        <v>50</v>
      </c>
      <c r="H68" s="163">
        <v>0.06</v>
      </c>
      <c r="I68" s="164">
        <f t="shared" si="60"/>
        <v>2.2027500000000004</v>
      </c>
      <c r="J68" s="165">
        <v>2</v>
      </c>
      <c r="K68" s="166" t="s">
        <v>134</v>
      </c>
      <c r="L68" s="167">
        <v>38</v>
      </c>
      <c r="M68" s="168">
        <v>1.0999999999999999E-2</v>
      </c>
      <c r="N68" s="165">
        <f t="shared" si="61"/>
        <v>0.40383750000000002</v>
      </c>
      <c r="O68" s="169">
        <f t="shared" si="62"/>
        <v>15.345825000000001</v>
      </c>
      <c r="P68" s="178">
        <f t="shared" si="63"/>
        <v>0.47800000000000004</v>
      </c>
      <c r="Q68" s="179">
        <f t="shared" si="64"/>
        <v>17.548575000000003</v>
      </c>
      <c r="R68" s="156"/>
    </row>
    <row r="69" spans="1:18" s="50" customFormat="1">
      <c r="A69" s="5">
        <f>IF(D69=0,"",1+MAX(A$9:A68))</f>
        <v>42</v>
      </c>
      <c r="B69" s="157"/>
      <c r="C69" s="188" t="s">
        <v>74</v>
      </c>
      <c r="D69" s="189">
        <f>D66*48</f>
        <v>133.5</v>
      </c>
      <c r="E69" s="190">
        <v>0</v>
      </c>
      <c r="F69" s="191">
        <f t="shared" si="56"/>
        <v>133.5</v>
      </c>
      <c r="G69" s="192" t="s">
        <v>48</v>
      </c>
      <c r="H69" s="163">
        <v>0.08</v>
      </c>
      <c r="I69" s="164">
        <f t="shared" si="60"/>
        <v>10.68</v>
      </c>
      <c r="J69" s="165">
        <v>2</v>
      </c>
      <c r="K69" s="166" t="s">
        <v>134</v>
      </c>
      <c r="L69" s="167">
        <v>38</v>
      </c>
      <c r="M69" s="168">
        <v>2E-3</v>
      </c>
      <c r="N69" s="165">
        <f t="shared" si="61"/>
        <v>0.26700000000000002</v>
      </c>
      <c r="O69" s="169">
        <f t="shared" si="62"/>
        <v>10.146000000000001</v>
      </c>
      <c r="P69" s="178">
        <f t="shared" si="63"/>
        <v>0.156</v>
      </c>
      <c r="Q69" s="179">
        <f t="shared" si="64"/>
        <v>20.826000000000001</v>
      </c>
      <c r="R69" s="156"/>
    </row>
    <row r="70" spans="1:18" s="50" customFormat="1">
      <c r="A70" s="5">
        <f>IF(D70=0,"",1+MAX(A$9:A69))</f>
        <v>43</v>
      </c>
      <c r="B70" s="157"/>
      <c r="C70" s="188" t="s">
        <v>75</v>
      </c>
      <c r="D70" s="189">
        <f>D65*0.053</f>
        <v>4.7169999999999996</v>
      </c>
      <c r="E70" s="190">
        <v>0.1</v>
      </c>
      <c r="F70" s="191">
        <f t="shared" si="56"/>
        <v>5.1886999999999999</v>
      </c>
      <c r="G70" s="192" t="s">
        <v>77</v>
      </c>
      <c r="H70" s="163">
        <v>0.75</v>
      </c>
      <c r="I70" s="164">
        <f t="shared" si="60"/>
        <v>3.8915249999999997</v>
      </c>
      <c r="J70" s="165">
        <v>2</v>
      </c>
      <c r="K70" s="166" t="s">
        <v>134</v>
      </c>
      <c r="L70" s="167">
        <v>38</v>
      </c>
      <c r="M70" s="168">
        <v>0.11</v>
      </c>
      <c r="N70" s="165">
        <f t="shared" si="61"/>
        <v>0.57075699999999996</v>
      </c>
      <c r="O70" s="169">
        <f t="shared" si="62"/>
        <v>21.688765999999998</v>
      </c>
      <c r="P70" s="178">
        <f t="shared" si="63"/>
        <v>4.9299999999999988</v>
      </c>
      <c r="Q70" s="179">
        <f t="shared" si="64"/>
        <v>25.580290999999992</v>
      </c>
      <c r="R70" s="156"/>
    </row>
    <row r="71" spans="1:18" s="50" customFormat="1">
      <c r="A71" s="5" t="str">
        <f>IF(D71=0,"",1+MAX(A$9:A70))</f>
        <v/>
      </c>
      <c r="B71" s="157"/>
      <c r="C71" s="182" t="s">
        <v>80</v>
      </c>
      <c r="D71" s="177"/>
      <c r="E71" s="160"/>
      <c r="F71" s="161"/>
      <c r="G71" s="177"/>
      <c r="H71" s="163"/>
      <c r="I71" s="164"/>
      <c r="J71" s="165"/>
      <c r="K71" s="166"/>
      <c r="L71" s="167"/>
      <c r="M71" s="168"/>
      <c r="N71" s="165"/>
      <c r="O71" s="169"/>
      <c r="P71" s="178"/>
      <c r="Q71" s="179"/>
      <c r="R71" s="156"/>
    </row>
    <row r="72" spans="1:18" s="50" customFormat="1">
      <c r="A72" s="5">
        <f>IF(D72=0,"",1+MAX(A$9:A71))</f>
        <v>44</v>
      </c>
      <c r="B72" s="157"/>
      <c r="C72" s="185" t="s">
        <v>81</v>
      </c>
      <c r="D72" s="177">
        <v>1296</v>
      </c>
      <c r="E72" s="186">
        <v>0.1</v>
      </c>
      <c r="F72" s="159">
        <f t="shared" ref="F72:F77" si="65">(1+E72)*D72</f>
        <v>1425.6000000000001</v>
      </c>
      <c r="G72" s="187" t="s">
        <v>52</v>
      </c>
      <c r="H72" s="163">
        <v>0.495</v>
      </c>
      <c r="I72" s="164">
        <f t="shared" ref="I72" si="66">H72*F72</f>
        <v>705.67200000000003</v>
      </c>
      <c r="J72" s="165">
        <v>2</v>
      </c>
      <c r="K72" s="166" t="s">
        <v>134</v>
      </c>
      <c r="L72" s="167">
        <v>38</v>
      </c>
      <c r="M72" s="168">
        <v>2.7E-2</v>
      </c>
      <c r="N72" s="165">
        <f>M72*F72</f>
        <v>38.491200000000006</v>
      </c>
      <c r="O72" s="169">
        <f>N72*L72</f>
        <v>1462.6656000000003</v>
      </c>
      <c r="P72" s="178">
        <f t="shared" ref="P72" si="67">(I72+O72)/F72</f>
        <v>1.5210000000000001</v>
      </c>
      <c r="Q72" s="179">
        <f t="shared" ref="Q72" si="68">P72*F72</f>
        <v>2168.3376000000003</v>
      </c>
      <c r="R72" s="156"/>
    </row>
    <row r="73" spans="1:18" s="50" customFormat="1">
      <c r="A73" s="5">
        <f>IF(D73=0,"",1+MAX(A$9:A72))</f>
        <v>45</v>
      </c>
      <c r="B73" s="157"/>
      <c r="C73" s="188" t="s">
        <v>72</v>
      </c>
      <c r="D73" s="189">
        <f>D72/32</f>
        <v>40.5</v>
      </c>
      <c r="E73" s="190">
        <v>0</v>
      </c>
      <c r="F73" s="191">
        <f t="shared" si="65"/>
        <v>40.5</v>
      </c>
      <c r="G73" s="192" t="s">
        <v>48</v>
      </c>
      <c r="H73" s="163"/>
      <c r="I73" s="164"/>
      <c r="J73" s="165"/>
      <c r="K73" s="166"/>
      <c r="L73" s="167"/>
      <c r="M73" s="168"/>
      <c r="N73" s="165"/>
      <c r="O73" s="169"/>
      <c r="P73" s="178"/>
      <c r="Q73" s="179"/>
      <c r="R73" s="156"/>
    </row>
    <row r="74" spans="1:18" s="50" customFormat="1">
      <c r="A74" s="5">
        <f>IF(D74=0,"",1+MAX(A$9:A73))</f>
        <v>46</v>
      </c>
      <c r="B74" s="157"/>
      <c r="C74" s="188" t="s">
        <v>73</v>
      </c>
      <c r="D74" s="189">
        <f>D72*0.031</f>
        <v>40.176000000000002</v>
      </c>
      <c r="E74" s="190">
        <v>0</v>
      </c>
      <c r="F74" s="191">
        <f t="shared" si="65"/>
        <v>40.176000000000002</v>
      </c>
      <c r="G74" s="192" t="s">
        <v>76</v>
      </c>
      <c r="H74" s="163">
        <v>9.01</v>
      </c>
      <c r="I74" s="164">
        <f t="shared" ref="I74:I77" si="69">H74*F74</f>
        <v>361.98576000000003</v>
      </c>
      <c r="J74" s="165">
        <v>2</v>
      </c>
      <c r="K74" s="166" t="s">
        <v>134</v>
      </c>
      <c r="L74" s="167">
        <v>38</v>
      </c>
      <c r="M74" s="168">
        <v>0.34</v>
      </c>
      <c r="N74" s="165">
        <f t="shared" ref="N74:N77" si="70">M74*F74</f>
        <v>13.659840000000001</v>
      </c>
      <c r="O74" s="169">
        <f t="shared" ref="O74:O77" si="71">N74*L74</f>
        <v>519.07392000000004</v>
      </c>
      <c r="P74" s="178">
        <f t="shared" ref="P74:P77" si="72">(I74+O74)/F74</f>
        <v>21.93</v>
      </c>
      <c r="Q74" s="179">
        <f t="shared" ref="Q74:Q77" si="73">P74*F74</f>
        <v>881.05968000000007</v>
      </c>
      <c r="R74" s="156"/>
    </row>
    <row r="75" spans="1:18" s="50" customFormat="1">
      <c r="A75" s="5">
        <f>IF(D75=0,"",1+MAX(A$9:A74))</f>
        <v>47</v>
      </c>
      <c r="B75" s="157"/>
      <c r="C75" s="188" t="s">
        <v>104</v>
      </c>
      <c r="D75" s="193">
        <f>D73*12</f>
        <v>486</v>
      </c>
      <c r="E75" s="190">
        <v>0.1</v>
      </c>
      <c r="F75" s="194">
        <f t="shared" si="65"/>
        <v>534.6</v>
      </c>
      <c r="G75" s="192" t="s">
        <v>50</v>
      </c>
      <c r="H75" s="163">
        <v>0.06</v>
      </c>
      <c r="I75" s="164">
        <f t="shared" si="69"/>
        <v>32.076000000000001</v>
      </c>
      <c r="J75" s="165">
        <v>2</v>
      </c>
      <c r="K75" s="166" t="s">
        <v>134</v>
      </c>
      <c r="L75" s="167">
        <v>38</v>
      </c>
      <c r="M75" s="168">
        <v>1.0999999999999999E-2</v>
      </c>
      <c r="N75" s="165">
        <f t="shared" si="70"/>
        <v>5.8806000000000003</v>
      </c>
      <c r="O75" s="169">
        <f t="shared" si="71"/>
        <v>223.46280000000002</v>
      </c>
      <c r="P75" s="178">
        <f t="shared" si="72"/>
        <v>0.47799999999999998</v>
      </c>
      <c r="Q75" s="179">
        <f t="shared" si="73"/>
        <v>255.53880000000001</v>
      </c>
      <c r="R75" s="156"/>
    </row>
    <row r="76" spans="1:18" s="50" customFormat="1">
      <c r="A76" s="5">
        <f>IF(D76=0,"",1+MAX(A$9:A75))</f>
        <v>48</v>
      </c>
      <c r="B76" s="157"/>
      <c r="C76" s="188" t="s">
        <v>74</v>
      </c>
      <c r="D76" s="189">
        <f>D73*48</f>
        <v>1944</v>
      </c>
      <c r="E76" s="190">
        <v>0</v>
      </c>
      <c r="F76" s="191">
        <f t="shared" si="65"/>
        <v>1944</v>
      </c>
      <c r="G76" s="192" t="s">
        <v>48</v>
      </c>
      <c r="H76" s="163">
        <v>0.08</v>
      </c>
      <c r="I76" s="164">
        <f t="shared" si="69"/>
        <v>155.52000000000001</v>
      </c>
      <c r="J76" s="165">
        <v>2</v>
      </c>
      <c r="K76" s="166" t="s">
        <v>134</v>
      </c>
      <c r="L76" s="167">
        <v>38</v>
      </c>
      <c r="M76" s="168">
        <v>2E-3</v>
      </c>
      <c r="N76" s="165">
        <f t="shared" si="70"/>
        <v>3.8879999999999999</v>
      </c>
      <c r="O76" s="169">
        <f t="shared" si="71"/>
        <v>147.744</v>
      </c>
      <c r="P76" s="178">
        <f t="shared" si="72"/>
        <v>0.156</v>
      </c>
      <c r="Q76" s="179">
        <f t="shared" si="73"/>
        <v>303.26400000000001</v>
      </c>
      <c r="R76" s="156"/>
    </row>
    <row r="77" spans="1:18" s="50" customFormat="1" ht="16.5" thickBot="1">
      <c r="A77" s="5">
        <f>IF(D77=0,"",1+MAX(A$9:A76))</f>
        <v>49</v>
      </c>
      <c r="B77" s="157"/>
      <c r="C77" s="188" t="s">
        <v>75</v>
      </c>
      <c r="D77" s="189">
        <f>D72*0.053</f>
        <v>68.688000000000002</v>
      </c>
      <c r="E77" s="190">
        <v>0.1</v>
      </c>
      <c r="F77" s="191">
        <f t="shared" si="65"/>
        <v>75.55680000000001</v>
      </c>
      <c r="G77" s="192" t="s">
        <v>77</v>
      </c>
      <c r="H77" s="163">
        <v>0.75</v>
      </c>
      <c r="I77" s="164">
        <f t="shared" si="69"/>
        <v>56.667600000000007</v>
      </c>
      <c r="J77" s="165">
        <v>2</v>
      </c>
      <c r="K77" s="166" t="s">
        <v>134</v>
      </c>
      <c r="L77" s="167">
        <v>38</v>
      </c>
      <c r="M77" s="168">
        <v>0.11</v>
      </c>
      <c r="N77" s="165">
        <f t="shared" si="70"/>
        <v>8.3112480000000009</v>
      </c>
      <c r="O77" s="169">
        <f t="shared" si="71"/>
        <v>315.82742400000001</v>
      </c>
      <c r="P77" s="178">
        <f t="shared" si="72"/>
        <v>4.93</v>
      </c>
      <c r="Q77" s="179">
        <f t="shared" si="73"/>
        <v>372.495024</v>
      </c>
      <c r="R77" s="156"/>
    </row>
    <row r="78" spans="1:18" s="50" customFormat="1">
      <c r="A78" s="99"/>
      <c r="B78" s="100"/>
      <c r="C78" s="101"/>
      <c r="D78" s="107"/>
      <c r="E78" s="103"/>
      <c r="F78" s="103"/>
      <c r="G78" s="103"/>
      <c r="H78" s="103"/>
      <c r="I78" s="103"/>
      <c r="J78" s="103"/>
      <c r="K78" s="103"/>
      <c r="L78" s="103"/>
      <c r="M78" s="102"/>
      <c r="N78" s="103"/>
      <c r="O78" s="104"/>
      <c r="P78" s="103"/>
      <c r="Q78" s="103"/>
      <c r="R78" s="108"/>
    </row>
    <row r="79" spans="1:18" s="50" customFormat="1">
      <c r="A79" s="1"/>
      <c r="B79" s="109"/>
      <c r="C79" s="110"/>
      <c r="D79" s="111"/>
      <c r="E79" s="112"/>
      <c r="F79" s="112"/>
      <c r="G79" s="112"/>
      <c r="H79" s="112"/>
      <c r="I79" s="112"/>
      <c r="J79" s="112"/>
      <c r="K79" s="112"/>
      <c r="L79" s="112"/>
      <c r="M79" s="113"/>
      <c r="N79" s="112"/>
      <c r="O79" s="114"/>
      <c r="P79" s="115"/>
      <c r="Q79" s="115"/>
      <c r="R79" s="116"/>
    </row>
    <row r="80" spans="1:18" s="50" customFormat="1">
      <c r="A80" s="1"/>
      <c r="B80" s="109"/>
      <c r="C80" s="117"/>
      <c r="D80" s="111"/>
      <c r="E80" s="112"/>
      <c r="F80" s="112"/>
      <c r="G80" s="112"/>
      <c r="H80" s="112"/>
      <c r="I80" s="112"/>
      <c r="J80" s="112"/>
      <c r="K80" s="112"/>
      <c r="L80" s="118" t="s">
        <v>64</v>
      </c>
      <c r="M80" s="119"/>
      <c r="N80" s="112"/>
      <c r="O80" s="114"/>
      <c r="P80" s="118"/>
      <c r="Q80" s="119"/>
      <c r="R80" s="116"/>
    </row>
    <row r="81" spans="1:18" s="50" customFormat="1">
      <c r="A81" s="2"/>
      <c r="B81" s="120"/>
      <c r="C81" s="110"/>
      <c r="D81" s="111"/>
      <c r="E81" s="112"/>
      <c r="F81" s="112"/>
      <c r="G81" s="112"/>
      <c r="H81" s="112"/>
      <c r="I81" s="112"/>
      <c r="J81" s="112"/>
      <c r="K81" s="112"/>
      <c r="L81" s="118" t="s">
        <v>6</v>
      </c>
      <c r="M81" s="119"/>
      <c r="N81" s="112"/>
      <c r="O81" s="114"/>
      <c r="P81" s="118"/>
      <c r="Q81" s="119"/>
      <c r="R81" s="116"/>
    </row>
    <row r="82" spans="1:18" s="50" customFormat="1">
      <c r="A82" s="3" t="s">
        <v>131</v>
      </c>
      <c r="B82" s="121"/>
      <c r="C82" s="122"/>
      <c r="D82" s="111"/>
      <c r="E82" s="112"/>
      <c r="F82" s="112"/>
      <c r="G82" s="112"/>
      <c r="H82" s="112"/>
      <c r="I82" s="112"/>
      <c r="J82" s="112"/>
      <c r="K82" s="112"/>
      <c r="L82" s="118" t="s">
        <v>7</v>
      </c>
      <c r="M82" s="118"/>
      <c r="N82" s="112"/>
      <c r="O82" s="114"/>
      <c r="P82" s="118"/>
      <c r="Q82" s="118"/>
      <c r="R82" s="116"/>
    </row>
    <row r="83" spans="1:18" s="50" customFormat="1">
      <c r="A83" s="91"/>
      <c r="B83" s="123"/>
      <c r="C83" s="123"/>
      <c r="D83" s="111"/>
      <c r="E83" s="124"/>
      <c r="F83" s="112"/>
      <c r="G83" s="112"/>
      <c r="H83" s="112"/>
      <c r="I83" s="112"/>
      <c r="J83" s="112"/>
      <c r="K83" s="112"/>
      <c r="L83" s="118" t="s">
        <v>0</v>
      </c>
      <c r="M83" s="126">
        <f ca="1">TODAY()</f>
        <v>46155</v>
      </c>
      <c r="N83" s="125"/>
      <c r="O83" s="114"/>
      <c r="P83" s="118"/>
      <c r="Q83" s="126"/>
      <c r="R83" s="127"/>
    </row>
    <row r="84" spans="1:18" s="50" customFormat="1" ht="47.25">
      <c r="A84" s="128" t="s">
        <v>8</v>
      </c>
      <c r="B84" s="105" t="s">
        <v>97</v>
      </c>
      <c r="C84" s="105" t="s">
        <v>1</v>
      </c>
      <c r="D84" s="105" t="s">
        <v>9</v>
      </c>
      <c r="E84" s="105" t="s">
        <v>10</v>
      </c>
      <c r="F84" s="105" t="s">
        <v>11</v>
      </c>
      <c r="G84" s="105" t="s">
        <v>12</v>
      </c>
      <c r="H84" s="105" t="s">
        <v>24</v>
      </c>
      <c r="I84" s="105" t="s">
        <v>2</v>
      </c>
      <c r="J84" s="105" t="s">
        <v>41</v>
      </c>
      <c r="K84" s="105" t="s">
        <v>40</v>
      </c>
      <c r="L84" s="105" t="s">
        <v>36</v>
      </c>
      <c r="M84" s="106" t="s">
        <v>37</v>
      </c>
      <c r="N84" s="105" t="s">
        <v>38</v>
      </c>
      <c r="O84" s="105" t="s">
        <v>3</v>
      </c>
      <c r="P84" s="105" t="s">
        <v>13</v>
      </c>
      <c r="Q84" s="105" t="s">
        <v>4</v>
      </c>
      <c r="R84" s="129" t="s">
        <v>14</v>
      </c>
    </row>
    <row r="85" spans="1:18" s="50" customFormat="1">
      <c r="A85" s="5">
        <v>50</v>
      </c>
      <c r="B85" s="157"/>
      <c r="C85" s="185" t="s">
        <v>83</v>
      </c>
      <c r="D85" s="177">
        <v>370</v>
      </c>
      <c r="E85" s="186">
        <v>0.1</v>
      </c>
      <c r="F85" s="159">
        <f t="shared" ref="F85" si="74">(1+E85)*D85</f>
        <v>407.00000000000006</v>
      </c>
      <c r="G85" s="187" t="s">
        <v>52</v>
      </c>
      <c r="H85" s="163">
        <v>0.56000000000000005</v>
      </c>
      <c r="I85" s="164">
        <f t="shared" ref="I85" si="75">H85*F85</f>
        <v>227.92000000000004</v>
      </c>
      <c r="J85" s="165">
        <v>2</v>
      </c>
      <c r="K85" s="166" t="s">
        <v>134</v>
      </c>
      <c r="L85" s="167">
        <v>38</v>
      </c>
      <c r="M85" s="168">
        <v>2.8000000000000001E-2</v>
      </c>
      <c r="N85" s="165">
        <f>M85*F85</f>
        <v>11.396000000000003</v>
      </c>
      <c r="O85" s="169">
        <f>N85*L85</f>
        <v>433.04800000000012</v>
      </c>
      <c r="P85" s="178">
        <f t="shared" ref="P85" si="76">(I85+O85)/F85</f>
        <v>1.6240000000000003</v>
      </c>
      <c r="Q85" s="179">
        <f t="shared" ref="Q85" si="77">P85*F85</f>
        <v>660.96800000000019</v>
      </c>
      <c r="R85" s="156"/>
    </row>
    <row r="86" spans="1:18" s="50" customFormat="1">
      <c r="A86" s="5" t="e">
        <f>IF(D86=0,"",1+MAX(A$9:A77))</f>
        <v>#REF!</v>
      </c>
      <c r="B86" s="157"/>
      <c r="C86" s="188" t="s">
        <v>72</v>
      </c>
      <c r="D86" s="189" t="e">
        <f>#REF!/32</f>
        <v>#REF!</v>
      </c>
      <c r="E86" s="190">
        <v>0</v>
      </c>
      <c r="F86" s="191" t="e">
        <f t="shared" ref="F86:F96" si="78">(1+E86)*D86</f>
        <v>#REF!</v>
      </c>
      <c r="G86" s="192" t="s">
        <v>48</v>
      </c>
      <c r="H86" s="163"/>
      <c r="I86" s="164"/>
      <c r="J86" s="165"/>
      <c r="K86" s="166"/>
      <c r="L86" s="167"/>
      <c r="M86" s="168"/>
      <c r="N86" s="165"/>
      <c r="O86" s="169"/>
      <c r="P86" s="178"/>
      <c r="Q86" s="179"/>
      <c r="R86" s="156"/>
    </row>
    <row r="87" spans="1:18" s="50" customFormat="1">
      <c r="A87" s="5" t="e">
        <f>IF(D87=0,"",1+MAX(A$9:A86))</f>
        <v>#REF!</v>
      </c>
      <c r="B87" s="157"/>
      <c r="C87" s="188" t="s">
        <v>73</v>
      </c>
      <c r="D87" s="189" t="e">
        <f>#REF!*0.031</f>
        <v>#REF!</v>
      </c>
      <c r="E87" s="190">
        <v>0</v>
      </c>
      <c r="F87" s="191" t="e">
        <f t="shared" si="78"/>
        <v>#REF!</v>
      </c>
      <c r="G87" s="192" t="s">
        <v>76</v>
      </c>
      <c r="H87" s="163">
        <v>9.01</v>
      </c>
      <c r="I87" s="164" t="e">
        <f t="shared" ref="I87:I91" si="79">H87*F87</f>
        <v>#REF!</v>
      </c>
      <c r="J87" s="165">
        <v>2</v>
      </c>
      <c r="K87" s="166" t="s">
        <v>134</v>
      </c>
      <c r="L87" s="167">
        <v>38</v>
      </c>
      <c r="M87" s="168">
        <v>0.34</v>
      </c>
      <c r="N87" s="165" t="e">
        <f t="shared" ref="N87:N90" si="80">M87*F87</f>
        <v>#REF!</v>
      </c>
      <c r="O87" s="169" t="e">
        <f t="shared" ref="O87:O90" si="81">N87*L87</f>
        <v>#REF!</v>
      </c>
      <c r="P87" s="178" t="e">
        <f t="shared" ref="P87:P91" si="82">(I87+O87)/F87</f>
        <v>#REF!</v>
      </c>
      <c r="Q87" s="179" t="e">
        <f t="shared" ref="Q87:Q91" si="83">P87*F87</f>
        <v>#REF!</v>
      </c>
      <c r="R87" s="156"/>
    </row>
    <row r="88" spans="1:18" s="50" customFormat="1">
      <c r="A88" s="5" t="e">
        <f>IF(D88=0,"",1+MAX(A$9:A87))</f>
        <v>#REF!</v>
      </c>
      <c r="B88" s="157"/>
      <c r="C88" s="188" t="s">
        <v>104</v>
      </c>
      <c r="D88" s="193" t="e">
        <f>D86*12</f>
        <v>#REF!</v>
      </c>
      <c r="E88" s="190">
        <v>0.1</v>
      </c>
      <c r="F88" s="194" t="e">
        <f t="shared" si="78"/>
        <v>#REF!</v>
      </c>
      <c r="G88" s="192" t="s">
        <v>50</v>
      </c>
      <c r="H88" s="163">
        <v>0.06</v>
      </c>
      <c r="I88" s="164" t="e">
        <f t="shared" si="79"/>
        <v>#REF!</v>
      </c>
      <c r="J88" s="165">
        <v>2</v>
      </c>
      <c r="K88" s="166" t="s">
        <v>134</v>
      </c>
      <c r="L88" s="167">
        <v>38</v>
      </c>
      <c r="M88" s="168">
        <v>1.0999999999999999E-2</v>
      </c>
      <c r="N88" s="165" t="e">
        <f t="shared" si="80"/>
        <v>#REF!</v>
      </c>
      <c r="O88" s="169" t="e">
        <f t="shared" si="81"/>
        <v>#REF!</v>
      </c>
      <c r="P88" s="178" t="e">
        <f t="shared" si="82"/>
        <v>#REF!</v>
      </c>
      <c r="Q88" s="179" t="e">
        <f t="shared" si="83"/>
        <v>#REF!</v>
      </c>
      <c r="R88" s="156"/>
    </row>
    <row r="89" spans="1:18" s="50" customFormat="1">
      <c r="A89" s="5" t="e">
        <f>IF(D89=0,"",1+MAX(A$9:A88))</f>
        <v>#REF!</v>
      </c>
      <c r="B89" s="157"/>
      <c r="C89" s="188" t="s">
        <v>74</v>
      </c>
      <c r="D89" s="189" t="e">
        <f>D86*48</f>
        <v>#REF!</v>
      </c>
      <c r="E89" s="190">
        <v>0</v>
      </c>
      <c r="F89" s="191" t="e">
        <f t="shared" si="78"/>
        <v>#REF!</v>
      </c>
      <c r="G89" s="192" t="s">
        <v>48</v>
      </c>
      <c r="H89" s="163">
        <v>0.08</v>
      </c>
      <c r="I89" s="164" t="e">
        <f t="shared" si="79"/>
        <v>#REF!</v>
      </c>
      <c r="J89" s="165">
        <v>2</v>
      </c>
      <c r="K89" s="166" t="s">
        <v>134</v>
      </c>
      <c r="L89" s="167">
        <v>38</v>
      </c>
      <c r="M89" s="168">
        <v>2E-3</v>
      </c>
      <c r="N89" s="165" t="e">
        <f t="shared" si="80"/>
        <v>#REF!</v>
      </c>
      <c r="O89" s="169" t="e">
        <f t="shared" si="81"/>
        <v>#REF!</v>
      </c>
      <c r="P89" s="178" t="e">
        <f t="shared" si="82"/>
        <v>#REF!</v>
      </c>
      <c r="Q89" s="179" t="e">
        <f t="shared" si="83"/>
        <v>#REF!</v>
      </c>
      <c r="R89" s="156"/>
    </row>
    <row r="90" spans="1:18" s="50" customFormat="1">
      <c r="A90" s="5" t="e">
        <f>IF(D90=0,"",1+MAX(A$9:A89))</f>
        <v>#REF!</v>
      </c>
      <c r="B90" s="157"/>
      <c r="C90" s="188" t="s">
        <v>75</v>
      </c>
      <c r="D90" s="189" t="e">
        <f>#REF!*0.053</f>
        <v>#REF!</v>
      </c>
      <c r="E90" s="190">
        <v>0.1</v>
      </c>
      <c r="F90" s="191" t="e">
        <f t="shared" si="78"/>
        <v>#REF!</v>
      </c>
      <c r="G90" s="192" t="s">
        <v>77</v>
      </c>
      <c r="H90" s="163">
        <v>0.75</v>
      </c>
      <c r="I90" s="164" t="e">
        <f t="shared" si="79"/>
        <v>#REF!</v>
      </c>
      <c r="J90" s="165">
        <v>2</v>
      </c>
      <c r="K90" s="166" t="s">
        <v>134</v>
      </c>
      <c r="L90" s="167">
        <v>38</v>
      </c>
      <c r="M90" s="168">
        <v>0.11</v>
      </c>
      <c r="N90" s="165" t="e">
        <f t="shared" si="80"/>
        <v>#REF!</v>
      </c>
      <c r="O90" s="169" t="e">
        <f t="shared" si="81"/>
        <v>#REF!</v>
      </c>
      <c r="P90" s="178" t="e">
        <f t="shared" si="82"/>
        <v>#REF!</v>
      </c>
      <c r="Q90" s="179" t="e">
        <f t="shared" si="83"/>
        <v>#REF!</v>
      </c>
      <c r="R90" s="156"/>
    </row>
    <row r="91" spans="1:18" s="50" customFormat="1">
      <c r="A91" s="5" t="e">
        <f>IF(D91=0,"",1+MAX(A$9:A90))</f>
        <v>#REF!</v>
      </c>
      <c r="B91" s="157"/>
      <c r="C91" s="185" t="s">
        <v>82</v>
      </c>
      <c r="D91" s="177">
        <v>153</v>
      </c>
      <c r="E91" s="186">
        <v>0.1</v>
      </c>
      <c r="F91" s="159">
        <f t="shared" si="78"/>
        <v>168.3</v>
      </c>
      <c r="G91" s="187" t="s">
        <v>52</v>
      </c>
      <c r="H91" s="163">
        <v>0.74</v>
      </c>
      <c r="I91" s="164">
        <f t="shared" si="79"/>
        <v>124.542</v>
      </c>
      <c r="J91" s="165">
        <v>2</v>
      </c>
      <c r="K91" s="166" t="s">
        <v>134</v>
      </c>
      <c r="L91" s="167">
        <v>38</v>
      </c>
      <c r="M91" s="168">
        <v>2.8000000000000001E-2</v>
      </c>
      <c r="N91" s="165">
        <f>M91*F91</f>
        <v>4.7124000000000006</v>
      </c>
      <c r="O91" s="169">
        <f>N91*L91</f>
        <v>179.07120000000003</v>
      </c>
      <c r="P91" s="178">
        <f t="shared" si="82"/>
        <v>1.8039999999999998</v>
      </c>
      <c r="Q91" s="179">
        <f t="shared" si="83"/>
        <v>303.61320000000001</v>
      </c>
      <c r="R91" s="156"/>
    </row>
    <row r="92" spans="1:18" s="50" customFormat="1">
      <c r="A92" s="5" t="e">
        <f>IF(D92=0,"",1+MAX(A$9:A91))</f>
        <v>#REF!</v>
      </c>
      <c r="B92" s="157"/>
      <c r="C92" s="188" t="s">
        <v>72</v>
      </c>
      <c r="D92" s="189">
        <f>D91/32</f>
        <v>4.78125</v>
      </c>
      <c r="E92" s="190">
        <v>0</v>
      </c>
      <c r="F92" s="191">
        <f t="shared" si="78"/>
        <v>4.78125</v>
      </c>
      <c r="G92" s="192" t="s">
        <v>48</v>
      </c>
      <c r="H92" s="163"/>
      <c r="I92" s="164"/>
      <c r="J92" s="165"/>
      <c r="K92" s="166"/>
      <c r="L92" s="167"/>
      <c r="M92" s="168"/>
      <c r="N92" s="165"/>
      <c r="O92" s="169"/>
      <c r="P92" s="178"/>
      <c r="Q92" s="179"/>
      <c r="R92" s="156"/>
    </row>
    <row r="93" spans="1:18" s="50" customFormat="1">
      <c r="A93" s="5" t="e">
        <f>IF(D93=0,"",1+MAX(A$9:A92))</f>
        <v>#REF!</v>
      </c>
      <c r="B93" s="157"/>
      <c r="C93" s="188" t="s">
        <v>73</v>
      </c>
      <c r="D93" s="189">
        <f>D91*0.031</f>
        <v>4.7430000000000003</v>
      </c>
      <c r="E93" s="190">
        <v>0</v>
      </c>
      <c r="F93" s="191">
        <f t="shared" si="78"/>
        <v>4.7430000000000003</v>
      </c>
      <c r="G93" s="192" t="s">
        <v>76</v>
      </c>
      <c r="H93" s="163">
        <v>9.01</v>
      </c>
      <c r="I93" s="164">
        <f t="shared" ref="I93:I96" si="84">H93*F93</f>
        <v>42.734430000000003</v>
      </c>
      <c r="J93" s="165">
        <v>2</v>
      </c>
      <c r="K93" s="166" t="s">
        <v>134</v>
      </c>
      <c r="L93" s="167">
        <v>38</v>
      </c>
      <c r="M93" s="168">
        <v>0.34</v>
      </c>
      <c r="N93" s="165">
        <f t="shared" ref="N93:N96" si="85">M93*F93</f>
        <v>1.6126200000000002</v>
      </c>
      <c r="O93" s="169">
        <f t="shared" ref="O93:O96" si="86">N93*L93</f>
        <v>61.279560000000004</v>
      </c>
      <c r="P93" s="178">
        <f t="shared" ref="P93:P96" si="87">(I93+O93)/F93</f>
        <v>21.93</v>
      </c>
      <c r="Q93" s="179">
        <f t="shared" ref="Q93:Q96" si="88">P93*F93</f>
        <v>104.01399000000001</v>
      </c>
      <c r="R93" s="156"/>
    </row>
    <row r="94" spans="1:18" s="50" customFormat="1">
      <c r="A94" s="5" t="e">
        <f>IF(D94=0,"",1+MAX(A$9:A93))</f>
        <v>#REF!</v>
      </c>
      <c r="B94" s="157"/>
      <c r="C94" s="188" t="s">
        <v>104</v>
      </c>
      <c r="D94" s="193">
        <f>D92*12</f>
        <v>57.375</v>
      </c>
      <c r="E94" s="190">
        <v>0.1</v>
      </c>
      <c r="F94" s="194">
        <f t="shared" si="78"/>
        <v>63.112500000000004</v>
      </c>
      <c r="G94" s="192" t="s">
        <v>50</v>
      </c>
      <c r="H94" s="163">
        <v>0.06</v>
      </c>
      <c r="I94" s="164">
        <f t="shared" si="84"/>
        <v>3.7867500000000001</v>
      </c>
      <c r="J94" s="165">
        <v>2</v>
      </c>
      <c r="K94" s="166" t="s">
        <v>134</v>
      </c>
      <c r="L94" s="167">
        <v>38</v>
      </c>
      <c r="M94" s="168">
        <v>1.0999999999999999E-2</v>
      </c>
      <c r="N94" s="165">
        <f t="shared" si="85"/>
        <v>0.69423749999999995</v>
      </c>
      <c r="O94" s="169">
        <f t="shared" si="86"/>
        <v>26.381024999999998</v>
      </c>
      <c r="P94" s="178">
        <f t="shared" si="87"/>
        <v>0.47799999999999992</v>
      </c>
      <c r="Q94" s="179">
        <f t="shared" si="88"/>
        <v>30.167774999999999</v>
      </c>
      <c r="R94" s="156"/>
    </row>
    <row r="95" spans="1:18" s="50" customFormat="1">
      <c r="A95" s="5" t="e">
        <f>IF(D95=0,"",1+MAX(A$9:A94))</f>
        <v>#REF!</v>
      </c>
      <c r="B95" s="157"/>
      <c r="C95" s="188" t="s">
        <v>74</v>
      </c>
      <c r="D95" s="189">
        <f>D92*48</f>
        <v>229.5</v>
      </c>
      <c r="E95" s="190">
        <v>0</v>
      </c>
      <c r="F95" s="191">
        <f t="shared" si="78"/>
        <v>229.5</v>
      </c>
      <c r="G95" s="192" t="s">
        <v>48</v>
      </c>
      <c r="H95" s="163">
        <v>0.08</v>
      </c>
      <c r="I95" s="164">
        <f t="shared" si="84"/>
        <v>18.36</v>
      </c>
      <c r="J95" s="165">
        <v>2</v>
      </c>
      <c r="K95" s="166" t="s">
        <v>134</v>
      </c>
      <c r="L95" s="167">
        <v>38</v>
      </c>
      <c r="M95" s="168">
        <v>2E-3</v>
      </c>
      <c r="N95" s="165">
        <f t="shared" si="85"/>
        <v>0.45900000000000002</v>
      </c>
      <c r="O95" s="169">
        <f t="shared" si="86"/>
        <v>17.442</v>
      </c>
      <c r="P95" s="178">
        <f t="shared" si="87"/>
        <v>0.156</v>
      </c>
      <c r="Q95" s="179">
        <f t="shared" si="88"/>
        <v>35.802</v>
      </c>
      <c r="R95" s="156"/>
    </row>
    <row r="96" spans="1:18" s="50" customFormat="1">
      <c r="A96" s="5" t="e">
        <f>IF(D96=0,"",1+MAX(A$9:A95))</f>
        <v>#REF!</v>
      </c>
      <c r="B96" s="157"/>
      <c r="C96" s="188" t="s">
        <v>75</v>
      </c>
      <c r="D96" s="189">
        <f>D91*0.053</f>
        <v>8.109</v>
      </c>
      <c r="E96" s="190">
        <v>0.1</v>
      </c>
      <c r="F96" s="191">
        <f t="shared" si="78"/>
        <v>8.9199000000000002</v>
      </c>
      <c r="G96" s="192" t="s">
        <v>77</v>
      </c>
      <c r="H96" s="163">
        <v>0.75</v>
      </c>
      <c r="I96" s="164">
        <f t="shared" si="84"/>
        <v>6.6899250000000006</v>
      </c>
      <c r="J96" s="165">
        <v>2</v>
      </c>
      <c r="K96" s="166" t="s">
        <v>134</v>
      </c>
      <c r="L96" s="167">
        <v>38</v>
      </c>
      <c r="M96" s="168">
        <v>0.11</v>
      </c>
      <c r="N96" s="165">
        <f t="shared" si="85"/>
        <v>0.98118899999999998</v>
      </c>
      <c r="O96" s="169">
        <f t="shared" si="86"/>
        <v>37.285181999999999</v>
      </c>
      <c r="P96" s="178">
        <f t="shared" si="87"/>
        <v>4.93</v>
      </c>
      <c r="Q96" s="179">
        <f t="shared" si="88"/>
        <v>43.975107000000001</v>
      </c>
      <c r="R96" s="156"/>
    </row>
    <row r="97" spans="1:18" s="50" customFormat="1">
      <c r="A97" s="5" t="str">
        <f>IF(D97=0,"",1+MAX(A$9:A96))</f>
        <v/>
      </c>
      <c r="B97" s="157"/>
      <c r="C97" s="176" t="s">
        <v>53</v>
      </c>
      <c r="D97" s="177"/>
      <c r="E97" s="160"/>
      <c r="F97" s="161"/>
      <c r="G97" s="177"/>
      <c r="H97" s="163"/>
      <c r="I97" s="164"/>
      <c r="J97" s="165"/>
      <c r="K97" s="166"/>
      <c r="L97" s="167"/>
      <c r="M97" s="168"/>
      <c r="N97" s="165"/>
      <c r="O97" s="169"/>
      <c r="P97" s="178"/>
      <c r="Q97" s="179"/>
      <c r="R97" s="156"/>
    </row>
    <row r="98" spans="1:18" s="50" customFormat="1">
      <c r="A98" s="5" t="e">
        <f>IF(D98=0,"",1+MAX(A$9:A97))</f>
        <v>#REF!</v>
      </c>
      <c r="B98" s="157"/>
      <c r="C98" s="181" t="s">
        <v>84</v>
      </c>
      <c r="D98" s="159">
        <v>382.89</v>
      </c>
      <c r="E98" s="160">
        <v>0.1</v>
      </c>
      <c r="F98" s="161">
        <f t="shared" ref="F98:F99" si="89">(1+E98)*D98</f>
        <v>421.17900000000003</v>
      </c>
      <c r="G98" s="177" t="s">
        <v>52</v>
      </c>
      <c r="H98" s="163">
        <v>1.5</v>
      </c>
      <c r="I98" s="164">
        <f t="shared" ref="I98:I99" si="90">H98*F98</f>
        <v>631.76850000000002</v>
      </c>
      <c r="J98" s="165">
        <v>2</v>
      </c>
      <c r="K98" s="166" t="s">
        <v>135</v>
      </c>
      <c r="L98" s="167">
        <v>30</v>
      </c>
      <c r="M98" s="168">
        <v>3.5000000000000003E-2</v>
      </c>
      <c r="N98" s="165">
        <f t="shared" ref="N98:N99" si="91">M98*F98</f>
        <v>14.741265000000002</v>
      </c>
      <c r="O98" s="169">
        <f t="shared" ref="O98:O99" si="92">N98*L98</f>
        <v>442.23795000000007</v>
      </c>
      <c r="P98" s="178">
        <f t="shared" ref="P98:P99" si="93">(I98+O98)/F98</f>
        <v>2.5499999999999998</v>
      </c>
      <c r="Q98" s="179">
        <f t="shared" ref="Q98:Q99" si="94">P98*F98</f>
        <v>1074.0064500000001</v>
      </c>
      <c r="R98" s="156"/>
    </row>
    <row r="99" spans="1:18" s="50" customFormat="1">
      <c r="A99" s="5" t="e">
        <f>IF(D99=0,"",1+MAX(A$9:A98))</f>
        <v>#REF!</v>
      </c>
      <c r="B99" s="157"/>
      <c r="C99" s="181" t="s">
        <v>121</v>
      </c>
      <c r="D99" s="159">
        <v>554</v>
      </c>
      <c r="E99" s="160">
        <v>0.1</v>
      </c>
      <c r="F99" s="161">
        <f t="shared" si="89"/>
        <v>609.40000000000009</v>
      </c>
      <c r="G99" s="177" t="s">
        <v>52</v>
      </c>
      <c r="H99" s="163">
        <v>3.42</v>
      </c>
      <c r="I99" s="164">
        <f t="shared" si="90"/>
        <v>2084.1480000000001</v>
      </c>
      <c r="J99" s="165">
        <v>2</v>
      </c>
      <c r="K99" s="166" t="s">
        <v>135</v>
      </c>
      <c r="L99" s="167">
        <v>30</v>
      </c>
      <c r="M99" s="168">
        <v>3.7999999999999999E-2</v>
      </c>
      <c r="N99" s="165">
        <f t="shared" si="91"/>
        <v>23.157200000000003</v>
      </c>
      <c r="O99" s="169">
        <f t="shared" si="92"/>
        <v>694.71600000000012</v>
      </c>
      <c r="P99" s="178">
        <f t="shared" si="93"/>
        <v>4.5600000000000005</v>
      </c>
      <c r="Q99" s="179">
        <f t="shared" si="94"/>
        <v>2778.8640000000009</v>
      </c>
      <c r="R99" s="156"/>
    </row>
    <row r="100" spans="1:18" s="50" customFormat="1">
      <c r="A100" s="5" t="e">
        <f>IF(D100=0,"",1+MAX(A$9:A99))</f>
        <v>#REF!</v>
      </c>
      <c r="B100" s="157"/>
      <c r="C100" s="181" t="s">
        <v>122</v>
      </c>
      <c r="D100" s="159">
        <v>719.04</v>
      </c>
      <c r="E100" s="160">
        <v>0.1</v>
      </c>
      <c r="F100" s="161">
        <f t="shared" ref="F100" si="95">(1+E100)*D100</f>
        <v>790.94400000000007</v>
      </c>
      <c r="G100" s="177" t="s">
        <v>52</v>
      </c>
      <c r="H100" s="163">
        <v>8</v>
      </c>
      <c r="I100" s="164">
        <f t="shared" si="57"/>
        <v>6327.5520000000006</v>
      </c>
      <c r="J100" s="165">
        <v>2</v>
      </c>
      <c r="K100" s="166" t="s">
        <v>135</v>
      </c>
      <c r="L100" s="167">
        <v>30</v>
      </c>
      <c r="M100" s="168">
        <v>5.5E-2</v>
      </c>
      <c r="N100" s="165">
        <f t="shared" ref="N100:N106" si="96">M100*F100</f>
        <v>43.501920000000005</v>
      </c>
      <c r="O100" s="169">
        <f t="shared" ref="O100:O106" si="97">N100*L100</f>
        <v>1305.0576000000001</v>
      </c>
      <c r="P100" s="178">
        <f t="shared" si="58"/>
        <v>9.65</v>
      </c>
      <c r="Q100" s="179">
        <f t="shared" si="59"/>
        <v>7632.6096000000007</v>
      </c>
      <c r="R100" s="156"/>
    </row>
    <row r="101" spans="1:18" s="50" customFormat="1">
      <c r="A101" s="5" t="e">
        <f>IF(D101=0,"",1+MAX(A$9:A100))</f>
        <v>#REF!</v>
      </c>
      <c r="B101" s="157"/>
      <c r="C101" s="181" t="s">
        <v>123</v>
      </c>
      <c r="D101" s="159">
        <v>156.24</v>
      </c>
      <c r="E101" s="160">
        <v>0.1</v>
      </c>
      <c r="F101" s="161">
        <f t="shared" ref="F101" si="98">(1+E101)*D101</f>
        <v>171.86400000000003</v>
      </c>
      <c r="G101" s="177" t="s">
        <v>52</v>
      </c>
      <c r="H101" s="163">
        <v>9.67</v>
      </c>
      <c r="I101" s="164">
        <f t="shared" si="57"/>
        <v>1661.9248800000003</v>
      </c>
      <c r="J101" s="165">
        <v>2</v>
      </c>
      <c r="K101" s="166" t="s">
        <v>135</v>
      </c>
      <c r="L101" s="167">
        <v>30</v>
      </c>
      <c r="M101" s="168">
        <v>5.8000000000000003E-2</v>
      </c>
      <c r="N101" s="165">
        <f t="shared" si="96"/>
        <v>9.9681120000000032</v>
      </c>
      <c r="O101" s="169">
        <f t="shared" si="97"/>
        <v>299.04336000000012</v>
      </c>
      <c r="P101" s="178">
        <f t="shared" si="58"/>
        <v>11.41</v>
      </c>
      <c r="Q101" s="179">
        <f t="shared" si="59"/>
        <v>1960.9682400000004</v>
      </c>
      <c r="R101" s="156"/>
    </row>
    <row r="102" spans="1:18" s="50" customFormat="1">
      <c r="A102" s="5" t="str">
        <f>IF(D102=0,"",1+MAX(A$9:A101))</f>
        <v/>
      </c>
      <c r="B102" s="157"/>
      <c r="C102" s="182" t="s">
        <v>85</v>
      </c>
      <c r="D102" s="177"/>
      <c r="E102" s="160"/>
      <c r="F102" s="161"/>
      <c r="G102" s="177"/>
      <c r="H102" s="163"/>
      <c r="I102" s="164"/>
      <c r="J102" s="165"/>
      <c r="K102" s="166"/>
      <c r="L102" s="167"/>
      <c r="M102" s="168"/>
      <c r="N102" s="165"/>
      <c r="O102" s="169"/>
      <c r="P102" s="178"/>
      <c r="Q102" s="179"/>
      <c r="R102" s="156"/>
    </row>
    <row r="103" spans="1:18" s="50" customFormat="1">
      <c r="A103" s="5" t="e">
        <f>IF(D103=0,"",1+MAX(A$9:A102))</f>
        <v>#REF!</v>
      </c>
      <c r="B103" s="157"/>
      <c r="C103" s="181" t="s">
        <v>124</v>
      </c>
      <c r="D103" s="159">
        <v>59.24</v>
      </c>
      <c r="E103" s="160">
        <v>0.1</v>
      </c>
      <c r="F103" s="161">
        <f t="shared" ref="F103:F125" si="99">(1+E103)*D103</f>
        <v>65.164000000000001</v>
      </c>
      <c r="G103" s="177" t="s">
        <v>50</v>
      </c>
      <c r="H103" s="163">
        <v>2.42</v>
      </c>
      <c r="I103" s="164">
        <f t="shared" ref="I103" si="100">H103*F103</f>
        <v>157.69687999999999</v>
      </c>
      <c r="J103" s="165">
        <v>2</v>
      </c>
      <c r="K103" s="166" t="s">
        <v>135</v>
      </c>
      <c r="L103" s="167">
        <v>30</v>
      </c>
      <c r="M103" s="168">
        <v>2.8000000000000001E-2</v>
      </c>
      <c r="N103" s="165">
        <f t="shared" ref="N103" si="101">M103*F103</f>
        <v>1.824592</v>
      </c>
      <c r="O103" s="169">
        <f t="shared" ref="O103" si="102">N103*L103</f>
        <v>54.737760000000002</v>
      </c>
      <c r="P103" s="178">
        <f t="shared" ref="P103" si="103">(I103+O103)/F103</f>
        <v>3.26</v>
      </c>
      <c r="Q103" s="179">
        <f t="shared" ref="Q103" si="104">P103*F103</f>
        <v>212.43464</v>
      </c>
      <c r="R103" s="156"/>
    </row>
    <row r="104" spans="1:18" s="50" customFormat="1">
      <c r="A104" s="5" t="e">
        <f>IF(D104=0,"",1+MAX(A$9:A103))</f>
        <v>#REF!</v>
      </c>
      <c r="B104" s="157"/>
      <c r="C104" s="181" t="s">
        <v>125</v>
      </c>
      <c r="D104" s="159">
        <v>163.99</v>
      </c>
      <c r="E104" s="160">
        <v>0.1</v>
      </c>
      <c r="F104" s="161">
        <f t="shared" ref="F104:F105" si="105">(1+E104)*D104</f>
        <v>180.38900000000004</v>
      </c>
      <c r="G104" s="177" t="s">
        <v>50</v>
      </c>
      <c r="H104" s="163">
        <v>2.23</v>
      </c>
      <c r="I104" s="164">
        <f t="shared" si="57"/>
        <v>402.26747000000006</v>
      </c>
      <c r="J104" s="165">
        <v>2</v>
      </c>
      <c r="K104" s="166" t="s">
        <v>135</v>
      </c>
      <c r="L104" s="167">
        <v>30</v>
      </c>
      <c r="M104" s="168">
        <v>2.5999999999999999E-2</v>
      </c>
      <c r="N104" s="165">
        <f t="shared" si="96"/>
        <v>4.6901140000000012</v>
      </c>
      <c r="O104" s="169">
        <f t="shared" si="97"/>
        <v>140.70342000000005</v>
      </c>
      <c r="P104" s="178">
        <f t="shared" si="58"/>
        <v>3.01</v>
      </c>
      <c r="Q104" s="179">
        <f t="shared" si="59"/>
        <v>542.97089000000005</v>
      </c>
      <c r="R104" s="156"/>
    </row>
    <row r="105" spans="1:18" s="50" customFormat="1">
      <c r="A105" s="5" t="e">
        <f>IF(D105=0,"",1+MAX(A$9:A104))</f>
        <v>#REF!</v>
      </c>
      <c r="B105" s="157"/>
      <c r="C105" s="181" t="s">
        <v>126</v>
      </c>
      <c r="D105" s="159">
        <v>223.18</v>
      </c>
      <c r="E105" s="160">
        <v>0.1</v>
      </c>
      <c r="F105" s="161">
        <f t="shared" si="105"/>
        <v>245.49800000000002</v>
      </c>
      <c r="G105" s="177" t="s">
        <v>50</v>
      </c>
      <c r="H105" s="163">
        <v>3.02</v>
      </c>
      <c r="I105" s="164">
        <f t="shared" si="57"/>
        <v>741.4039600000001</v>
      </c>
      <c r="J105" s="165">
        <v>2</v>
      </c>
      <c r="K105" s="166" t="s">
        <v>135</v>
      </c>
      <c r="L105" s="167">
        <v>30</v>
      </c>
      <c r="M105" s="168">
        <v>3.2000000000000001E-2</v>
      </c>
      <c r="N105" s="165">
        <f t="shared" si="96"/>
        <v>7.8559360000000007</v>
      </c>
      <c r="O105" s="169">
        <f t="shared" si="97"/>
        <v>235.67808000000002</v>
      </c>
      <c r="P105" s="178">
        <f t="shared" si="58"/>
        <v>3.98</v>
      </c>
      <c r="Q105" s="179">
        <f t="shared" si="59"/>
        <v>977.08204000000012</v>
      </c>
      <c r="R105" s="156"/>
    </row>
    <row r="106" spans="1:18" s="50" customFormat="1">
      <c r="A106" s="5" t="e">
        <f>IF(D106=0,"",1+MAX(A$9:A105))</f>
        <v>#REF!</v>
      </c>
      <c r="B106" s="157"/>
      <c r="C106" s="181" t="s">
        <v>127</v>
      </c>
      <c r="D106" s="159">
        <v>56.53</v>
      </c>
      <c r="E106" s="160">
        <v>0.1</v>
      </c>
      <c r="F106" s="161">
        <f t="shared" ref="F106" si="106">(1+E106)*D106</f>
        <v>62.183000000000007</v>
      </c>
      <c r="G106" s="177" t="s">
        <v>50</v>
      </c>
      <c r="H106" s="163">
        <v>3</v>
      </c>
      <c r="I106" s="164">
        <f t="shared" si="57"/>
        <v>186.54900000000004</v>
      </c>
      <c r="J106" s="165">
        <v>2</v>
      </c>
      <c r="K106" s="166" t="s">
        <v>135</v>
      </c>
      <c r="L106" s="167">
        <v>30</v>
      </c>
      <c r="M106" s="168">
        <v>0.03</v>
      </c>
      <c r="N106" s="165">
        <f t="shared" si="96"/>
        <v>1.8654900000000001</v>
      </c>
      <c r="O106" s="169">
        <f t="shared" si="97"/>
        <v>55.964700000000001</v>
      </c>
      <c r="P106" s="178">
        <f t="shared" si="58"/>
        <v>3.9</v>
      </c>
      <c r="Q106" s="179">
        <f t="shared" si="59"/>
        <v>242.51370000000003</v>
      </c>
      <c r="R106" s="156"/>
    </row>
    <row r="107" spans="1:18" s="50" customFormat="1">
      <c r="A107" s="5" t="str">
        <f>IF(D107=0,"",1+MAX(A$9:A106))</f>
        <v/>
      </c>
      <c r="B107" s="157"/>
      <c r="C107" s="182" t="s">
        <v>86</v>
      </c>
      <c r="D107" s="177"/>
      <c r="E107" s="160"/>
      <c r="F107" s="161"/>
      <c r="G107" s="177"/>
      <c r="H107" s="163"/>
      <c r="I107" s="164"/>
      <c r="J107" s="165"/>
      <c r="K107" s="166"/>
      <c r="L107" s="167"/>
      <c r="M107" s="168"/>
      <c r="N107" s="165"/>
      <c r="O107" s="169"/>
      <c r="P107" s="178"/>
      <c r="Q107" s="179"/>
      <c r="R107" s="156"/>
    </row>
    <row r="108" spans="1:18" s="50" customFormat="1">
      <c r="A108" s="5" t="e">
        <f>IF(D108=0,"",1+MAX(A$9:A107))</f>
        <v>#REF!</v>
      </c>
      <c r="B108" s="157"/>
      <c r="C108" s="183" t="s">
        <v>87</v>
      </c>
      <c r="D108" s="177">
        <v>34</v>
      </c>
      <c r="E108" s="160">
        <v>0.1</v>
      </c>
      <c r="F108" s="161">
        <f t="shared" si="99"/>
        <v>37.400000000000006</v>
      </c>
      <c r="G108" s="177" t="s">
        <v>50</v>
      </c>
      <c r="H108" s="163">
        <v>10</v>
      </c>
      <c r="I108" s="164">
        <f t="shared" ref="I108" si="107">H108*F108</f>
        <v>374.00000000000006</v>
      </c>
      <c r="J108" s="165">
        <v>2</v>
      </c>
      <c r="K108" s="166" t="s">
        <v>135</v>
      </c>
      <c r="L108" s="167">
        <v>30</v>
      </c>
      <c r="M108" s="168">
        <v>0.1</v>
      </c>
      <c r="N108" s="165">
        <f t="shared" ref="N108" si="108">M108*F108</f>
        <v>3.7400000000000007</v>
      </c>
      <c r="O108" s="169">
        <f t="shared" ref="O108" si="109">N108*L108</f>
        <v>112.20000000000002</v>
      </c>
      <c r="P108" s="178">
        <f t="shared" ref="P108" si="110">(I108+O108)/F108</f>
        <v>13</v>
      </c>
      <c r="Q108" s="179">
        <f t="shared" ref="Q108" si="111">P108*F108</f>
        <v>486.20000000000005</v>
      </c>
      <c r="R108" s="156"/>
    </row>
    <row r="109" spans="1:18" s="50" customFormat="1">
      <c r="A109" s="5" t="str">
        <f>IF(D109=0,"",1+MAX(A$9:A108))</f>
        <v/>
      </c>
      <c r="B109" s="157"/>
      <c r="C109" s="176" t="s">
        <v>88</v>
      </c>
      <c r="D109" s="177"/>
      <c r="E109" s="160"/>
      <c r="F109" s="161"/>
      <c r="G109" s="177"/>
      <c r="H109" s="163"/>
      <c r="I109" s="164"/>
      <c r="J109" s="165"/>
      <c r="K109" s="166"/>
      <c r="L109" s="167"/>
      <c r="M109" s="168"/>
      <c r="N109" s="165"/>
      <c r="O109" s="169"/>
      <c r="P109" s="178"/>
      <c r="Q109" s="179"/>
      <c r="R109" s="156"/>
    </row>
    <row r="110" spans="1:18" s="50" customFormat="1">
      <c r="A110" s="5" t="str">
        <f>IF(D110=0,"",1+MAX(A$9:A109))</f>
        <v/>
      </c>
      <c r="B110" s="157"/>
      <c r="C110" s="182" t="s">
        <v>89</v>
      </c>
      <c r="D110" s="177"/>
      <c r="E110" s="160"/>
      <c r="F110" s="161"/>
      <c r="G110" s="177"/>
      <c r="H110" s="163"/>
      <c r="I110" s="164"/>
      <c r="J110" s="165"/>
      <c r="K110" s="166"/>
      <c r="L110" s="167"/>
      <c r="M110" s="168"/>
      <c r="N110" s="165"/>
      <c r="O110" s="169"/>
      <c r="P110" s="178"/>
      <c r="Q110" s="179"/>
      <c r="R110" s="156"/>
    </row>
    <row r="111" spans="1:18" s="50" customFormat="1">
      <c r="A111" s="5" t="e">
        <f>IF(D111=0,"",1+MAX(A$9:A110))</f>
        <v>#REF!</v>
      </c>
      <c r="B111" s="157"/>
      <c r="C111" s="183" t="s">
        <v>90</v>
      </c>
      <c r="D111" s="177">
        <v>89</v>
      </c>
      <c r="E111" s="160">
        <v>0.1</v>
      </c>
      <c r="F111" s="161">
        <f t="shared" ref="F111" si="112">(1+E111)*D111</f>
        <v>97.9</v>
      </c>
      <c r="G111" s="177" t="s">
        <v>52</v>
      </c>
      <c r="H111" s="163">
        <v>9.67</v>
      </c>
      <c r="I111" s="164">
        <f t="shared" ref="I111" si="113">H111*F111</f>
        <v>946.6930000000001</v>
      </c>
      <c r="J111" s="165">
        <v>2</v>
      </c>
      <c r="K111" s="166" t="s">
        <v>135</v>
      </c>
      <c r="L111" s="167">
        <v>30</v>
      </c>
      <c r="M111" s="168">
        <v>5.8000000000000003E-2</v>
      </c>
      <c r="N111" s="165">
        <f t="shared" ref="N111" si="114">M111*F111</f>
        <v>5.6782000000000004</v>
      </c>
      <c r="O111" s="169">
        <f t="shared" ref="O111" si="115">N111*L111</f>
        <v>170.346</v>
      </c>
      <c r="P111" s="178">
        <f t="shared" ref="P111" si="116">(I111+O111)/F111</f>
        <v>11.410000000000002</v>
      </c>
      <c r="Q111" s="179">
        <f t="shared" ref="Q111" si="117">P111*F111</f>
        <v>1117.0390000000002</v>
      </c>
      <c r="R111" s="156"/>
    </row>
    <row r="112" spans="1:18" s="50" customFormat="1">
      <c r="A112" s="5" t="str">
        <f>IF(D112=0,"",1+MAX(A$9:A111))</f>
        <v/>
      </c>
      <c r="B112" s="157"/>
      <c r="C112" s="176" t="s">
        <v>54</v>
      </c>
      <c r="D112" s="177"/>
      <c r="E112" s="160"/>
      <c r="F112" s="161"/>
      <c r="G112" s="177"/>
      <c r="H112" s="163"/>
      <c r="I112" s="164"/>
      <c r="J112" s="165"/>
      <c r="K112" s="166"/>
      <c r="L112" s="167"/>
      <c r="M112" s="168"/>
      <c r="N112" s="165"/>
      <c r="O112" s="169"/>
      <c r="P112" s="178"/>
      <c r="Q112" s="179"/>
      <c r="R112" s="156"/>
    </row>
    <row r="113" spans="1:18" s="50" customFormat="1">
      <c r="A113" s="5" t="str">
        <f>IF(D113=0,"",1+MAX(A$9:A112))</f>
        <v/>
      </c>
      <c r="B113" s="157"/>
      <c r="C113" s="182" t="s">
        <v>55</v>
      </c>
      <c r="D113" s="177"/>
      <c r="E113" s="160"/>
      <c r="F113" s="161"/>
      <c r="G113" s="177"/>
      <c r="H113" s="163"/>
      <c r="I113" s="164"/>
      <c r="J113" s="165"/>
      <c r="K113" s="166"/>
      <c r="L113" s="167"/>
      <c r="M113" s="168"/>
      <c r="N113" s="165"/>
      <c r="O113" s="169"/>
      <c r="P113" s="178"/>
      <c r="Q113" s="179"/>
      <c r="R113" s="156"/>
    </row>
    <row r="114" spans="1:18" s="50" customFormat="1">
      <c r="A114" s="5" t="e">
        <f>IF(D114=0,"",1+MAX(A$9:A113))</f>
        <v>#REF!</v>
      </c>
      <c r="B114" s="157"/>
      <c r="C114" s="183" t="s">
        <v>91</v>
      </c>
      <c r="D114" s="177">
        <v>4273</v>
      </c>
      <c r="E114" s="160">
        <v>0.1</v>
      </c>
      <c r="F114" s="161">
        <f t="shared" si="99"/>
        <v>4700.3</v>
      </c>
      <c r="G114" s="177" t="s">
        <v>52</v>
      </c>
      <c r="H114" s="163">
        <v>0.55000000000000004</v>
      </c>
      <c r="I114" s="164">
        <f t="shared" ref="I114:I115" si="118">H114*F114</f>
        <v>2585.1650000000004</v>
      </c>
      <c r="J114" s="165">
        <v>2</v>
      </c>
      <c r="K114" s="166" t="s">
        <v>136</v>
      </c>
      <c r="L114" s="195">
        <v>28.5</v>
      </c>
      <c r="M114" s="168">
        <v>2.5999999999999999E-2</v>
      </c>
      <c r="N114" s="165">
        <f t="shared" ref="N114:N115" si="119">M114*F114</f>
        <v>122.20780000000001</v>
      </c>
      <c r="O114" s="169">
        <f t="shared" ref="O114:O115" si="120">N114*L114</f>
        <v>3482.9223000000002</v>
      </c>
      <c r="P114" s="178">
        <f t="shared" ref="P114:P115" si="121">(I114+O114)/F114</f>
        <v>1.2910000000000001</v>
      </c>
      <c r="Q114" s="179">
        <f t="shared" ref="Q114:Q115" si="122">P114*F114</f>
        <v>6068.0873000000011</v>
      </c>
      <c r="R114" s="156"/>
    </row>
    <row r="115" spans="1:18" s="50" customFormat="1">
      <c r="A115" s="5" t="e">
        <f>IF(D115=0,"",1+MAX(A$9:A114))</f>
        <v>#REF!</v>
      </c>
      <c r="B115" s="157"/>
      <c r="C115" s="183" t="s">
        <v>129</v>
      </c>
      <c r="D115" s="177">
        <v>543</v>
      </c>
      <c r="E115" s="160">
        <v>0.1</v>
      </c>
      <c r="F115" s="161">
        <f t="shared" si="99"/>
        <v>597.30000000000007</v>
      </c>
      <c r="G115" s="177" t="s">
        <v>52</v>
      </c>
      <c r="H115" s="163">
        <v>0.7</v>
      </c>
      <c r="I115" s="164">
        <f t="shared" si="118"/>
        <v>418.11</v>
      </c>
      <c r="J115" s="165">
        <v>2</v>
      </c>
      <c r="K115" s="166" t="s">
        <v>136</v>
      </c>
      <c r="L115" s="195">
        <v>28.5</v>
      </c>
      <c r="M115" s="168">
        <v>2.5999999999999999E-2</v>
      </c>
      <c r="N115" s="165">
        <f t="shared" si="119"/>
        <v>15.529800000000002</v>
      </c>
      <c r="O115" s="169">
        <f t="shared" si="120"/>
        <v>442.59930000000003</v>
      </c>
      <c r="P115" s="178">
        <f t="shared" si="121"/>
        <v>1.4409999999999998</v>
      </c>
      <c r="Q115" s="179">
        <f t="shared" si="122"/>
        <v>860.70929999999998</v>
      </c>
      <c r="R115" s="156"/>
    </row>
    <row r="116" spans="1:18" s="50" customFormat="1">
      <c r="A116" s="5" t="str">
        <f>IF(D116=0,"",1+MAX(A$9:A115))</f>
        <v/>
      </c>
      <c r="B116" s="157"/>
      <c r="C116" s="182" t="s">
        <v>56</v>
      </c>
      <c r="D116" s="177"/>
      <c r="E116" s="160"/>
      <c r="F116" s="161"/>
      <c r="G116" s="177"/>
      <c r="H116" s="163"/>
      <c r="I116" s="164"/>
      <c r="J116" s="165"/>
      <c r="K116" s="166"/>
      <c r="L116" s="167"/>
      <c r="M116" s="168"/>
      <c r="N116" s="165"/>
      <c r="O116" s="169"/>
      <c r="P116" s="178"/>
      <c r="Q116" s="179"/>
      <c r="R116" s="156"/>
    </row>
    <row r="117" spans="1:18" s="50" customFormat="1">
      <c r="A117" s="5" t="e">
        <f>IF(D117=0,"",1+MAX(A$9:A116))</f>
        <v>#REF!</v>
      </c>
      <c r="B117" s="157"/>
      <c r="C117" s="183" t="s">
        <v>92</v>
      </c>
      <c r="D117" s="177">
        <v>1815</v>
      </c>
      <c r="E117" s="160">
        <v>0.1</v>
      </c>
      <c r="F117" s="161">
        <f t="shared" si="99"/>
        <v>1996.5000000000002</v>
      </c>
      <c r="G117" s="177" t="s">
        <v>52</v>
      </c>
      <c r="H117" s="163">
        <v>0.55000000000000004</v>
      </c>
      <c r="I117" s="164">
        <f t="shared" ref="I117:I118" si="123">H117*F117</f>
        <v>1098.0750000000003</v>
      </c>
      <c r="J117" s="165">
        <v>2</v>
      </c>
      <c r="K117" s="166" t="s">
        <v>136</v>
      </c>
      <c r="L117" s="195">
        <v>28.5</v>
      </c>
      <c r="M117" s="168">
        <v>2.8000000000000001E-2</v>
      </c>
      <c r="N117" s="165">
        <f t="shared" ref="N117:N118" si="124">M117*F117</f>
        <v>55.902000000000008</v>
      </c>
      <c r="O117" s="169">
        <f t="shared" ref="O117:O118" si="125">N117*L117</f>
        <v>1593.2070000000003</v>
      </c>
      <c r="P117" s="178">
        <f t="shared" ref="P117:P118" si="126">(I117+O117)/F117</f>
        <v>1.3480000000000001</v>
      </c>
      <c r="Q117" s="179">
        <f t="shared" ref="Q117:Q118" si="127">P117*F117</f>
        <v>2691.2820000000006</v>
      </c>
      <c r="R117" s="156"/>
    </row>
    <row r="118" spans="1:18" s="50" customFormat="1" ht="31.5">
      <c r="A118" s="5" t="e">
        <f>IF(D118=0,"",1+MAX(A$9:A117))</f>
        <v>#REF!</v>
      </c>
      <c r="B118" s="157"/>
      <c r="C118" s="183" t="s">
        <v>128</v>
      </c>
      <c r="D118" s="177">
        <v>153</v>
      </c>
      <c r="E118" s="160">
        <v>0.1</v>
      </c>
      <c r="F118" s="161">
        <f t="shared" si="99"/>
        <v>168.3</v>
      </c>
      <c r="G118" s="177" t="s">
        <v>52</v>
      </c>
      <c r="H118" s="163">
        <v>0.7</v>
      </c>
      <c r="I118" s="164">
        <f t="shared" si="123"/>
        <v>117.81</v>
      </c>
      <c r="J118" s="165">
        <v>2</v>
      </c>
      <c r="K118" s="166" t="s">
        <v>136</v>
      </c>
      <c r="L118" s="195">
        <v>28.5</v>
      </c>
      <c r="M118" s="168">
        <v>2.8000000000000001E-2</v>
      </c>
      <c r="N118" s="165">
        <f t="shared" si="124"/>
        <v>4.7124000000000006</v>
      </c>
      <c r="O118" s="169">
        <f t="shared" si="125"/>
        <v>134.30340000000001</v>
      </c>
      <c r="P118" s="178">
        <f t="shared" si="126"/>
        <v>1.498</v>
      </c>
      <c r="Q118" s="179">
        <f t="shared" si="127"/>
        <v>252.11340000000001</v>
      </c>
      <c r="R118" s="156"/>
    </row>
    <row r="119" spans="1:18" s="50" customFormat="1">
      <c r="A119" s="5" t="str">
        <f>IF(D119=0,"",1+MAX(A$9:A118))</f>
        <v/>
      </c>
      <c r="B119" s="157"/>
      <c r="C119" s="182" t="s">
        <v>57</v>
      </c>
      <c r="D119" s="177"/>
      <c r="E119" s="160"/>
      <c r="F119" s="161"/>
      <c r="G119" s="177"/>
      <c r="H119" s="163"/>
      <c r="I119" s="164"/>
      <c r="J119" s="165"/>
      <c r="K119" s="166"/>
      <c r="L119" s="167"/>
      <c r="M119" s="168"/>
      <c r="N119" s="165"/>
      <c r="O119" s="169"/>
      <c r="P119" s="178"/>
      <c r="Q119" s="179"/>
      <c r="R119" s="156"/>
    </row>
    <row r="120" spans="1:18" s="50" customFormat="1">
      <c r="A120" s="5" t="e">
        <f>IF(D120=0,"",1+MAX(A$9:A119))</f>
        <v>#REF!</v>
      </c>
      <c r="B120" s="157"/>
      <c r="C120" s="183" t="s">
        <v>96</v>
      </c>
      <c r="D120" s="177">
        <v>1224</v>
      </c>
      <c r="E120" s="160">
        <v>0.1</v>
      </c>
      <c r="F120" s="161">
        <f t="shared" si="99"/>
        <v>1346.4</v>
      </c>
      <c r="G120" s="177" t="s">
        <v>52</v>
      </c>
      <c r="H120" s="163">
        <v>0.55000000000000004</v>
      </c>
      <c r="I120" s="164">
        <f t="shared" ref="I120" si="128">H120*F120</f>
        <v>740.5200000000001</v>
      </c>
      <c r="J120" s="165">
        <v>2</v>
      </c>
      <c r="K120" s="166" t="s">
        <v>136</v>
      </c>
      <c r="L120" s="195">
        <v>28.5</v>
      </c>
      <c r="M120" s="168">
        <v>2.8000000000000001E-2</v>
      </c>
      <c r="N120" s="165">
        <f t="shared" ref="N120" si="129">M120*F120</f>
        <v>37.699200000000005</v>
      </c>
      <c r="O120" s="169">
        <f t="shared" ref="O120" si="130">N120*L120</f>
        <v>1074.4272000000001</v>
      </c>
      <c r="P120" s="178">
        <f t="shared" ref="P120" si="131">(I120+O120)/F120</f>
        <v>1.3479999999999999</v>
      </c>
      <c r="Q120" s="179">
        <f t="shared" ref="Q120" si="132">P120*F120</f>
        <v>1814.9471999999998</v>
      </c>
      <c r="R120" s="156"/>
    </row>
    <row r="121" spans="1:18" s="50" customFormat="1">
      <c r="A121" s="5" t="str">
        <f>IF(D121=0,"",1+MAX(A$9:A120))</f>
        <v/>
      </c>
      <c r="B121" s="157"/>
      <c r="C121" s="182" t="s">
        <v>58</v>
      </c>
      <c r="D121" s="177"/>
      <c r="E121" s="160"/>
      <c r="F121" s="161"/>
      <c r="G121" s="177"/>
      <c r="H121" s="163"/>
      <c r="I121" s="164"/>
      <c r="J121" s="165"/>
      <c r="K121" s="166"/>
      <c r="L121" s="167"/>
      <c r="M121" s="168"/>
      <c r="N121" s="165"/>
      <c r="O121" s="169"/>
      <c r="P121" s="178"/>
      <c r="Q121" s="179"/>
      <c r="R121" s="156"/>
    </row>
    <row r="122" spans="1:18" s="50" customFormat="1">
      <c r="A122" s="5" t="str">
        <f>IF(D122=0,"",1+MAX(A$9:A121))</f>
        <v/>
      </c>
      <c r="B122" s="157"/>
      <c r="C122" s="196" t="s">
        <v>93</v>
      </c>
      <c r="D122" s="177"/>
      <c r="E122" s="160"/>
      <c r="F122" s="161"/>
      <c r="G122" s="177"/>
      <c r="H122" s="163"/>
      <c r="I122" s="164"/>
      <c r="J122" s="165"/>
      <c r="K122" s="166"/>
      <c r="L122" s="167"/>
      <c r="M122" s="168"/>
      <c r="N122" s="165"/>
      <c r="O122" s="169"/>
      <c r="P122" s="178"/>
      <c r="Q122" s="179"/>
      <c r="R122" s="156"/>
    </row>
    <row r="123" spans="1:18" s="50" customFormat="1">
      <c r="A123" s="5" t="e">
        <f>IF(D123=0,"",1+MAX(A$9:A122))</f>
        <v>#REF!</v>
      </c>
      <c r="B123" s="157"/>
      <c r="C123" s="183" t="s">
        <v>112</v>
      </c>
      <c r="D123" s="177">
        <v>1</v>
      </c>
      <c r="E123" s="160">
        <v>0</v>
      </c>
      <c r="F123" s="161">
        <f t="shared" si="99"/>
        <v>1</v>
      </c>
      <c r="G123" s="177" t="s">
        <v>48</v>
      </c>
      <c r="H123" s="163">
        <v>35.200000000000003</v>
      </c>
      <c r="I123" s="164">
        <f t="shared" ref="I123:I130" si="133">H123*F123</f>
        <v>35.200000000000003</v>
      </c>
      <c r="J123" s="165">
        <v>2</v>
      </c>
      <c r="K123" s="166" t="s">
        <v>136</v>
      </c>
      <c r="L123" s="195">
        <v>28.5</v>
      </c>
      <c r="M123" s="168">
        <v>1.1000000000000001</v>
      </c>
      <c r="N123" s="165">
        <f t="shared" ref="N123:N130" si="134">M123*F123</f>
        <v>1.1000000000000001</v>
      </c>
      <c r="O123" s="169">
        <f t="shared" ref="O123:O130" si="135">N123*L123</f>
        <v>31.35</v>
      </c>
      <c r="P123" s="178">
        <f t="shared" ref="P123:P130" si="136">(I123+O123)/F123</f>
        <v>66.550000000000011</v>
      </c>
      <c r="Q123" s="179">
        <f t="shared" ref="Q123:Q130" si="137">P123*F123</f>
        <v>66.550000000000011</v>
      </c>
      <c r="R123" s="156"/>
    </row>
    <row r="124" spans="1:18" s="50" customFormat="1">
      <c r="A124" s="5" t="str">
        <f>IF(D124=0,"",1+MAX(A$9:A123))</f>
        <v/>
      </c>
      <c r="B124" s="157"/>
      <c r="C124" s="196" t="s">
        <v>94</v>
      </c>
      <c r="D124" s="177"/>
      <c r="E124" s="160"/>
      <c r="F124" s="161"/>
      <c r="G124" s="177"/>
      <c r="H124" s="163"/>
      <c r="I124" s="164"/>
      <c r="J124" s="165"/>
      <c r="K124" s="166"/>
      <c r="L124" s="167"/>
      <c r="M124" s="168"/>
      <c r="N124" s="165"/>
      <c r="O124" s="169"/>
      <c r="P124" s="178"/>
      <c r="Q124" s="179"/>
      <c r="R124" s="156"/>
    </row>
    <row r="125" spans="1:18" s="50" customFormat="1">
      <c r="A125" s="5" t="str">
        <f>IF(D197=0,"",1+MAX(A$9:A124))</f>
        <v/>
      </c>
      <c r="B125" s="157"/>
      <c r="C125" s="181" t="s">
        <v>113</v>
      </c>
      <c r="D125" s="159">
        <v>5</v>
      </c>
      <c r="E125" s="160">
        <v>0</v>
      </c>
      <c r="F125" s="161">
        <f t="shared" si="99"/>
        <v>5</v>
      </c>
      <c r="G125" s="177" t="s">
        <v>48</v>
      </c>
      <c r="H125" s="163">
        <f>0.6*2.5*6.67*2+10</f>
        <v>30.009999999999998</v>
      </c>
      <c r="I125" s="164">
        <f t="shared" si="133"/>
        <v>150.04999999999998</v>
      </c>
      <c r="J125" s="165">
        <v>2</v>
      </c>
      <c r="K125" s="166" t="s">
        <v>136</v>
      </c>
      <c r="L125" s="195">
        <v>28.5</v>
      </c>
      <c r="M125" s="168">
        <f>0.052*2.5*6.67</f>
        <v>0.86709999999999998</v>
      </c>
      <c r="N125" s="165">
        <f t="shared" si="134"/>
        <v>4.3354999999999997</v>
      </c>
      <c r="O125" s="169">
        <f t="shared" si="135"/>
        <v>123.56174999999999</v>
      </c>
      <c r="P125" s="178">
        <f t="shared" ref="P125" si="138">(I125+O125)/F125</f>
        <v>54.722349999999992</v>
      </c>
      <c r="Q125" s="179">
        <f t="shared" ref="Q125" si="139">P125*F125</f>
        <v>273.61174999999997</v>
      </c>
      <c r="R125" s="156"/>
    </row>
    <row r="126" spans="1:18" s="50" customFormat="1">
      <c r="A126" s="5" t="e">
        <f>IF(D126=0,"",1+MAX(A$9:A197))</f>
        <v>#REF!</v>
      </c>
      <c r="B126" s="157"/>
      <c r="C126" s="181" t="s">
        <v>114</v>
      </c>
      <c r="D126" s="159">
        <v>3</v>
      </c>
      <c r="E126" s="160">
        <v>0</v>
      </c>
      <c r="F126" s="161">
        <f t="shared" ref="F126:F133" si="140">(1+E126)*D126</f>
        <v>3</v>
      </c>
      <c r="G126" s="177" t="s">
        <v>48</v>
      </c>
      <c r="H126" s="163">
        <f>0.6*2.67*6.67*2+10</f>
        <v>31.370679999999997</v>
      </c>
      <c r="I126" s="164">
        <f t="shared" si="133"/>
        <v>94.112039999999993</v>
      </c>
      <c r="J126" s="165">
        <v>2</v>
      </c>
      <c r="K126" s="166" t="s">
        <v>136</v>
      </c>
      <c r="L126" s="195">
        <v>28.5</v>
      </c>
      <c r="M126" s="168">
        <f>0.052*2.67*6.67</f>
        <v>0.92606279999999996</v>
      </c>
      <c r="N126" s="165">
        <f t="shared" si="134"/>
        <v>2.7781883999999999</v>
      </c>
      <c r="O126" s="169">
        <f t="shared" si="135"/>
        <v>79.178369399999994</v>
      </c>
      <c r="P126" s="178">
        <f t="shared" si="136"/>
        <v>57.763469799999996</v>
      </c>
      <c r="Q126" s="179">
        <f t="shared" si="137"/>
        <v>173.29040939999999</v>
      </c>
      <c r="R126" s="156"/>
    </row>
    <row r="127" spans="1:18" s="50" customFormat="1">
      <c r="A127" s="5" t="e">
        <f>IF(D127=0,"",1+MAX(A$9:A126))</f>
        <v>#REF!</v>
      </c>
      <c r="B127" s="157"/>
      <c r="C127" s="181" t="s">
        <v>115</v>
      </c>
      <c r="D127" s="159">
        <v>1</v>
      </c>
      <c r="E127" s="160">
        <v>0</v>
      </c>
      <c r="F127" s="161">
        <f t="shared" si="140"/>
        <v>1</v>
      </c>
      <c r="G127" s="177" t="s">
        <v>48</v>
      </c>
      <c r="H127" s="163">
        <f>0.6*2*6.67*2+10</f>
        <v>26.007999999999999</v>
      </c>
      <c r="I127" s="164">
        <f t="shared" si="133"/>
        <v>26.007999999999999</v>
      </c>
      <c r="J127" s="165">
        <v>2</v>
      </c>
      <c r="K127" s="166" t="s">
        <v>136</v>
      </c>
      <c r="L127" s="195">
        <v>28.5</v>
      </c>
      <c r="M127" s="168">
        <f>0.052*2*6.67</f>
        <v>0.69367999999999996</v>
      </c>
      <c r="N127" s="165">
        <f t="shared" si="134"/>
        <v>0.69367999999999996</v>
      </c>
      <c r="O127" s="169">
        <f t="shared" si="135"/>
        <v>19.769880000000001</v>
      </c>
      <c r="P127" s="178">
        <f t="shared" si="136"/>
        <v>45.777879999999996</v>
      </c>
      <c r="Q127" s="179">
        <f t="shared" si="137"/>
        <v>45.777879999999996</v>
      </c>
      <c r="R127" s="156"/>
    </row>
    <row r="128" spans="1:18" s="50" customFormat="1">
      <c r="A128" s="5" t="e">
        <f>IF(D128=0,"",1+MAX(A$9:A127))</f>
        <v>#REF!</v>
      </c>
      <c r="B128" s="157"/>
      <c r="C128" s="181" t="s">
        <v>116</v>
      </c>
      <c r="D128" s="159">
        <v>4</v>
      </c>
      <c r="E128" s="160">
        <v>0</v>
      </c>
      <c r="F128" s="161">
        <f t="shared" si="140"/>
        <v>4</v>
      </c>
      <c r="G128" s="177" t="s">
        <v>48</v>
      </c>
      <c r="H128" s="163">
        <f>0.6*2*6.67*2+10</f>
        <v>26.007999999999999</v>
      </c>
      <c r="I128" s="164">
        <f t="shared" si="133"/>
        <v>104.032</v>
      </c>
      <c r="J128" s="165">
        <v>2</v>
      </c>
      <c r="K128" s="166" t="s">
        <v>136</v>
      </c>
      <c r="L128" s="195">
        <v>28.5</v>
      </c>
      <c r="M128" s="168">
        <f>0.052*2*6.67</f>
        <v>0.69367999999999996</v>
      </c>
      <c r="N128" s="165">
        <f t="shared" si="134"/>
        <v>2.7747199999999999</v>
      </c>
      <c r="O128" s="169">
        <f t="shared" si="135"/>
        <v>79.079520000000002</v>
      </c>
      <c r="P128" s="178">
        <f t="shared" si="136"/>
        <v>45.777879999999996</v>
      </c>
      <c r="Q128" s="179">
        <f t="shared" si="137"/>
        <v>183.11151999999998</v>
      </c>
      <c r="R128" s="156"/>
    </row>
    <row r="129" spans="1:19" s="50" customFormat="1">
      <c r="A129" s="5" t="e">
        <f>IF(D129=0,"",1+MAX(A$9:A128))</f>
        <v>#REF!</v>
      </c>
      <c r="B129" s="157"/>
      <c r="C129" s="181" t="s">
        <v>117</v>
      </c>
      <c r="D129" s="159">
        <v>3</v>
      </c>
      <c r="E129" s="160">
        <v>0</v>
      </c>
      <c r="F129" s="161">
        <f t="shared" si="140"/>
        <v>3</v>
      </c>
      <c r="G129" s="177" t="s">
        <v>48</v>
      </c>
      <c r="H129" s="163">
        <f>0.6*3*6.67*2+10</f>
        <v>34.012</v>
      </c>
      <c r="I129" s="164">
        <f t="shared" si="133"/>
        <v>102.036</v>
      </c>
      <c r="J129" s="165">
        <v>2</v>
      </c>
      <c r="K129" s="166" t="s">
        <v>136</v>
      </c>
      <c r="L129" s="195">
        <v>28.5</v>
      </c>
      <c r="M129" s="168">
        <f>0.052*3*6.67</f>
        <v>1.0405199999999999</v>
      </c>
      <c r="N129" s="165">
        <f t="shared" si="134"/>
        <v>3.1215599999999997</v>
      </c>
      <c r="O129" s="169">
        <f t="shared" si="135"/>
        <v>88.964459999999988</v>
      </c>
      <c r="P129" s="178">
        <f t="shared" si="136"/>
        <v>63.666819999999994</v>
      </c>
      <c r="Q129" s="179">
        <f t="shared" si="137"/>
        <v>191.00045999999998</v>
      </c>
      <c r="R129" s="156"/>
    </row>
    <row r="130" spans="1:19" s="50" customFormat="1">
      <c r="A130" s="5" t="e">
        <f>IF(D130=0,"",1+MAX(A$9:A129))</f>
        <v>#REF!</v>
      </c>
      <c r="B130" s="157"/>
      <c r="C130" s="181" t="s">
        <v>118</v>
      </c>
      <c r="D130" s="159">
        <v>1</v>
      </c>
      <c r="E130" s="160">
        <v>0</v>
      </c>
      <c r="F130" s="161">
        <f t="shared" si="140"/>
        <v>1</v>
      </c>
      <c r="G130" s="177" t="s">
        <v>48</v>
      </c>
      <c r="H130" s="163">
        <f>0.6*4*6.67*2+10</f>
        <v>42.015999999999998</v>
      </c>
      <c r="I130" s="164">
        <f t="shared" si="133"/>
        <v>42.015999999999998</v>
      </c>
      <c r="J130" s="165">
        <v>2</v>
      </c>
      <c r="K130" s="166" t="s">
        <v>136</v>
      </c>
      <c r="L130" s="195">
        <v>28.5</v>
      </c>
      <c r="M130" s="168">
        <f>0.052*4*6.67</f>
        <v>1.3873599999999999</v>
      </c>
      <c r="N130" s="165">
        <f t="shared" si="134"/>
        <v>1.3873599999999999</v>
      </c>
      <c r="O130" s="169">
        <f t="shared" si="135"/>
        <v>39.539760000000001</v>
      </c>
      <c r="P130" s="178">
        <f t="shared" si="136"/>
        <v>81.555759999999992</v>
      </c>
      <c r="Q130" s="179">
        <f t="shared" si="137"/>
        <v>81.555759999999992</v>
      </c>
      <c r="R130" s="156"/>
    </row>
    <row r="131" spans="1:19" s="50" customFormat="1">
      <c r="A131" s="5" t="str">
        <f>IF(D131=0,"",1+MAX(A$9:A130))</f>
        <v/>
      </c>
      <c r="B131" s="157"/>
      <c r="C131" s="182" t="s">
        <v>95</v>
      </c>
      <c r="D131" s="177"/>
      <c r="E131" s="160"/>
      <c r="F131" s="161"/>
      <c r="G131" s="177"/>
      <c r="H131" s="163"/>
      <c r="I131" s="164"/>
      <c r="J131" s="165"/>
      <c r="K131" s="166"/>
      <c r="L131" s="167"/>
      <c r="M131" s="168"/>
      <c r="N131" s="165"/>
      <c r="O131" s="169"/>
      <c r="P131" s="178"/>
      <c r="Q131" s="179"/>
      <c r="R131" s="156"/>
    </row>
    <row r="132" spans="1:19" s="50" customFormat="1">
      <c r="A132" s="5" t="e">
        <f>IF(D132=0,"",1+MAX(A$9:A131))</f>
        <v>#REF!</v>
      </c>
      <c r="B132" s="59"/>
      <c r="C132" s="183" t="s">
        <v>59</v>
      </c>
      <c r="D132" s="177">
        <v>717</v>
      </c>
      <c r="E132" s="160">
        <v>0.1</v>
      </c>
      <c r="F132" s="161">
        <f t="shared" si="140"/>
        <v>788.7</v>
      </c>
      <c r="G132" s="177" t="s">
        <v>50</v>
      </c>
      <c r="H132" s="163">
        <v>1.2</v>
      </c>
      <c r="I132" s="164">
        <f t="shared" ref="I132:I133" si="141">H132*F132</f>
        <v>946.44</v>
      </c>
      <c r="J132" s="165">
        <v>2</v>
      </c>
      <c r="K132" s="166" t="s">
        <v>136</v>
      </c>
      <c r="L132" s="195">
        <v>28.5</v>
      </c>
      <c r="M132" s="168">
        <v>1.7999999999999999E-2</v>
      </c>
      <c r="N132" s="165">
        <f t="shared" ref="N132:N133" si="142">M132*F132</f>
        <v>14.1966</v>
      </c>
      <c r="O132" s="169">
        <f t="shared" ref="O132:O133" si="143">N132*L132</f>
        <v>404.60309999999998</v>
      </c>
      <c r="P132" s="178">
        <f t="shared" ref="P132:P133" si="144">(I132+O132)/F132</f>
        <v>1.7130000000000001</v>
      </c>
      <c r="Q132" s="179">
        <f t="shared" ref="Q132:Q133" si="145">P132*F132</f>
        <v>1351.0431000000001</v>
      </c>
      <c r="R132" s="156"/>
    </row>
    <row r="133" spans="1:19" s="50" customFormat="1" ht="16.5" thickBot="1">
      <c r="A133" s="5" t="e">
        <f>IF(D133=0,"",1+MAX(A$9:A132))</f>
        <v>#REF!</v>
      </c>
      <c r="B133" s="43"/>
      <c r="C133" s="183" t="s">
        <v>60</v>
      </c>
      <c r="D133" s="177">
        <v>264</v>
      </c>
      <c r="E133" s="160">
        <v>0.1</v>
      </c>
      <c r="F133" s="161">
        <f t="shared" si="140"/>
        <v>290.40000000000003</v>
      </c>
      <c r="G133" s="177" t="s">
        <v>50</v>
      </c>
      <c r="H133" s="163">
        <v>1.2</v>
      </c>
      <c r="I133" s="164">
        <f t="shared" si="141"/>
        <v>348.48</v>
      </c>
      <c r="J133" s="165">
        <v>2</v>
      </c>
      <c r="K133" s="166" t="s">
        <v>136</v>
      </c>
      <c r="L133" s="195">
        <v>28.5</v>
      </c>
      <c r="M133" s="168">
        <v>1.7999999999999999E-2</v>
      </c>
      <c r="N133" s="165">
        <f t="shared" si="142"/>
        <v>5.2271999999999998</v>
      </c>
      <c r="O133" s="169">
        <f t="shared" si="143"/>
        <v>148.9752</v>
      </c>
      <c r="P133" s="178">
        <f t="shared" si="144"/>
        <v>1.7129999999999999</v>
      </c>
      <c r="Q133" s="179">
        <f t="shared" si="145"/>
        <v>497.45519999999999</v>
      </c>
      <c r="R133" s="156"/>
    </row>
    <row r="134" spans="1:19" ht="16.5" thickBot="1">
      <c r="A134" s="55" t="str">
        <f>IF(D134=0,"",1+MAX(A$9:A133))</f>
        <v/>
      </c>
      <c r="B134" s="56"/>
      <c r="C134" s="39" t="s">
        <v>20</v>
      </c>
      <c r="D134" s="7"/>
      <c r="E134" s="8"/>
      <c r="F134" s="9"/>
      <c r="G134" s="10" t="s">
        <v>35</v>
      </c>
      <c r="H134" s="9"/>
      <c r="I134" s="51" t="e">
        <f>SUM(I51:I133)</f>
        <v>#REF!</v>
      </c>
      <c r="J134" s="51"/>
      <c r="K134" s="51"/>
      <c r="L134" s="51"/>
      <c r="M134" s="52"/>
      <c r="N134" s="10" t="s">
        <v>25</v>
      </c>
      <c r="O134" s="51" t="e">
        <f>SUM(O51:O133)</f>
        <v>#REF!</v>
      </c>
      <c r="P134" s="53"/>
      <c r="Q134" s="54"/>
      <c r="R134" s="40" t="e">
        <f>(SUM(Q51:Q134))</f>
        <v>#REF!</v>
      </c>
    </row>
    <row r="135" spans="1:19" s="50" customFormat="1" ht="16.5" thickBot="1">
      <c r="A135" s="73" t="str">
        <f>IF(D135=0,"",1+MAX(A$9:A134))</f>
        <v/>
      </c>
      <c r="B135" s="74"/>
      <c r="C135" s="74"/>
      <c r="D135" s="74"/>
      <c r="E135" s="74"/>
      <c r="F135" s="74"/>
      <c r="G135" s="74"/>
      <c r="H135" s="74"/>
      <c r="I135" s="74"/>
      <c r="J135" s="74"/>
      <c r="K135" s="74"/>
      <c r="L135" s="74"/>
      <c r="M135" s="74"/>
      <c r="N135" s="74"/>
      <c r="O135" s="74"/>
      <c r="P135" s="74"/>
      <c r="Q135" s="74"/>
      <c r="R135" s="75"/>
    </row>
    <row r="136" spans="1:19">
      <c r="A136" s="11" t="s">
        <v>21</v>
      </c>
      <c r="B136" s="45"/>
      <c r="C136" s="12"/>
      <c r="D136" s="13"/>
      <c r="E136" s="13"/>
      <c r="F136" s="13"/>
      <c r="G136" s="13"/>
      <c r="H136" s="13"/>
      <c r="I136" s="86" t="e">
        <f>SUM(I21:I135)/2</f>
        <v>#REF!</v>
      </c>
      <c r="J136" s="14"/>
      <c r="K136" s="14"/>
      <c r="L136" s="14"/>
      <c r="M136" s="36"/>
      <c r="N136" s="14"/>
      <c r="O136" s="12"/>
      <c r="P136" s="15"/>
      <c r="Q136" s="15"/>
      <c r="R136" s="82" t="e">
        <f>SUM(R9:R135)</f>
        <v>#REF!</v>
      </c>
      <c r="S136" s="84"/>
    </row>
    <row r="137" spans="1:19">
      <c r="A137" s="41" t="s">
        <v>43</v>
      </c>
      <c r="B137" s="130"/>
      <c r="C137" s="131"/>
      <c r="D137" s="132">
        <v>0.15</v>
      </c>
      <c r="E137" s="132"/>
      <c r="F137" s="132"/>
      <c r="G137" s="133"/>
      <c r="H137" s="133"/>
      <c r="I137" s="134"/>
      <c r="J137" s="134"/>
      <c r="K137" s="134"/>
      <c r="L137" s="134"/>
      <c r="M137" s="135"/>
      <c r="N137" s="134"/>
      <c r="O137" s="136"/>
      <c r="P137" s="137"/>
      <c r="Q137" s="137"/>
      <c r="R137" s="81" t="e">
        <f>(R136*D137)</f>
        <v>#REF!</v>
      </c>
    </row>
    <row r="138" spans="1:19">
      <c r="A138" s="41" t="s">
        <v>44</v>
      </c>
      <c r="B138" s="130"/>
      <c r="C138" s="131"/>
      <c r="D138" s="132">
        <v>0.02</v>
      </c>
      <c r="E138" s="132"/>
      <c r="F138" s="132"/>
      <c r="G138" s="133"/>
      <c r="H138" s="133"/>
      <c r="I138" s="134"/>
      <c r="J138" s="134"/>
      <c r="K138" s="134"/>
      <c r="L138" s="134"/>
      <c r="M138" s="135"/>
      <c r="N138" s="134"/>
      <c r="O138" s="136"/>
      <c r="P138" s="137"/>
      <c r="Q138" s="137"/>
      <c r="R138" s="81" t="e">
        <f>(R136*D138)</f>
        <v>#REF!</v>
      </c>
    </row>
    <row r="139" spans="1:19">
      <c r="A139" s="41" t="s">
        <v>45</v>
      </c>
      <c r="B139" s="130"/>
      <c r="C139" s="131"/>
      <c r="D139" s="132">
        <v>0.05</v>
      </c>
      <c r="E139" s="132"/>
      <c r="F139" s="132"/>
      <c r="G139" s="138"/>
      <c r="H139" s="138"/>
      <c r="I139" s="139"/>
      <c r="J139" s="139"/>
      <c r="K139" s="139"/>
      <c r="L139" s="139"/>
      <c r="M139" s="135"/>
      <c r="N139" s="139"/>
      <c r="O139" s="140"/>
      <c r="P139" s="141"/>
      <c r="Q139" s="141"/>
      <c r="R139" s="81" t="e">
        <f>(R136*D139)</f>
        <v>#REF!</v>
      </c>
    </row>
    <row r="140" spans="1:19">
      <c r="A140" s="41" t="s">
        <v>132</v>
      </c>
      <c r="B140" s="130"/>
      <c r="C140" s="142"/>
      <c r="D140" s="132">
        <v>7.0000000000000007E-2</v>
      </c>
      <c r="E140" s="132"/>
      <c r="F140" s="132"/>
      <c r="G140" s="138"/>
      <c r="H140" s="138"/>
      <c r="I140" s="138"/>
      <c r="J140" s="138"/>
      <c r="K140" s="138"/>
      <c r="L140" s="138"/>
      <c r="M140" s="135"/>
      <c r="N140" s="138"/>
      <c r="O140" s="140"/>
      <c r="P140" s="140"/>
      <c r="Q140" s="140"/>
      <c r="R140" s="81" t="e">
        <f>(I136*D140)</f>
        <v>#REF!</v>
      </c>
    </row>
    <row r="141" spans="1:19" ht="16.5" thickBot="1">
      <c r="A141" s="16" t="s">
        <v>22</v>
      </c>
      <c r="B141" s="143"/>
      <c r="C141" s="144"/>
      <c r="D141" s="145"/>
      <c r="E141" s="145"/>
      <c r="F141" s="145"/>
      <c r="G141" s="145"/>
      <c r="H141" s="145"/>
      <c r="I141" s="146"/>
      <c r="J141" s="146"/>
      <c r="K141" s="146"/>
      <c r="L141" s="146"/>
      <c r="M141" s="147"/>
      <c r="N141" s="146"/>
      <c r="O141" s="144"/>
      <c r="P141" s="148"/>
      <c r="Q141" s="148"/>
      <c r="R141" s="83" t="e">
        <f>SUM(R136:R140)</f>
        <v>#REF!</v>
      </c>
    </row>
    <row r="142" spans="1:19">
      <c r="A142" s="17" t="s">
        <v>23</v>
      </c>
      <c r="B142" s="46"/>
      <c r="C142" s="18"/>
      <c r="D142" s="19"/>
      <c r="E142" s="19"/>
      <c r="F142" s="19"/>
      <c r="G142" s="19"/>
      <c r="H142" s="19"/>
      <c r="I142" s="20"/>
      <c r="J142" s="20"/>
      <c r="K142" s="20"/>
      <c r="L142" s="20"/>
      <c r="M142" s="37"/>
      <c r="N142" s="20"/>
      <c r="O142" s="18"/>
      <c r="P142" s="21"/>
      <c r="Q142" s="21"/>
      <c r="R142" s="22"/>
    </row>
    <row r="143" spans="1:19">
      <c r="A143" s="23" t="s">
        <v>47</v>
      </c>
      <c r="B143" s="149"/>
      <c r="C143" s="150"/>
      <c r="D143" s="151"/>
      <c r="E143" s="151"/>
      <c r="F143" s="151"/>
      <c r="G143" s="151"/>
      <c r="H143" s="151"/>
      <c r="I143" s="152"/>
      <c r="J143" s="152"/>
      <c r="K143" s="152"/>
      <c r="L143" s="152"/>
      <c r="M143" s="153"/>
      <c r="N143" s="152"/>
      <c r="O143" s="150"/>
      <c r="P143" s="154"/>
      <c r="Q143" s="154"/>
      <c r="R143" s="24"/>
    </row>
    <row r="144" spans="1:19">
      <c r="A144" s="25" t="s">
        <v>5</v>
      </c>
      <c r="B144" s="155"/>
      <c r="C144" s="150"/>
      <c r="D144" s="151"/>
      <c r="E144" s="151"/>
      <c r="F144" s="151"/>
      <c r="G144" s="151"/>
      <c r="H144" s="151"/>
      <c r="I144" s="152"/>
      <c r="J144" s="152"/>
      <c r="K144" s="152"/>
      <c r="L144" s="152"/>
      <c r="M144" s="153"/>
      <c r="N144" s="152"/>
      <c r="O144" s="150"/>
      <c r="P144" s="154"/>
      <c r="Q144" s="154"/>
      <c r="R144" s="24"/>
    </row>
    <row r="145" spans="1:18" ht="16.5" thickBot="1">
      <c r="A145" s="26" t="s">
        <v>39</v>
      </c>
      <c r="B145" s="47"/>
      <c r="C145" s="27"/>
      <c r="D145" s="28"/>
      <c r="E145" s="28"/>
      <c r="F145" s="28"/>
      <c r="G145" s="28"/>
      <c r="H145" s="28"/>
      <c r="I145" s="29"/>
      <c r="J145" s="29"/>
      <c r="K145" s="29"/>
      <c r="L145" s="29"/>
      <c r="M145" s="38"/>
      <c r="N145" s="29"/>
      <c r="O145" s="27"/>
      <c r="P145" s="30"/>
      <c r="Q145" s="30"/>
      <c r="R145" s="31"/>
    </row>
  </sheetData>
  <mergeCells count="12">
    <mergeCell ref="B35:B47"/>
    <mergeCell ref="A83:C83"/>
    <mergeCell ref="D50:R50"/>
    <mergeCell ref="D33:R33"/>
    <mergeCell ref="R34:R47"/>
    <mergeCell ref="D21:R21"/>
    <mergeCell ref="B22:B30"/>
    <mergeCell ref="R22:R30"/>
    <mergeCell ref="A6:C6"/>
    <mergeCell ref="D8:R8"/>
    <mergeCell ref="R9:R18"/>
    <mergeCell ref="Q9:Q18"/>
  </mergeCells>
  <pageMargins left="0.7" right="0.7" top="0.75" bottom="0.75" header="0.3" footer="0.3"/>
  <pageSetup paperSize="9" scale="39" fitToHeight="0" orientation="landscape" r:id="rId1"/>
  <headerFooter>
    <oddHeader>&amp;C
&amp;G</oddHeader>
  </headerFooter>
  <rowBreaks count="1" manualBreakCount="1">
    <brk id="77" max="16383"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AB8B11-67CA-4FA2-9A79-EC0B59593F14}">
  <ds:schemaRefs>
    <ds:schemaRef ds:uri="http://www.w3.org/2000/xmln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2026-05-13T16:00:32Z</cp:lastPrinted>
  <dcterms:created xsi:type="dcterms:W3CDTF">2020-07-29T11:58:51Z</dcterms:created>
  <dcterms:modified xsi:type="dcterms:W3CDTF">2026-05-13T16:00:55Z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{61AB8B11-67CA-4FA2-9A79-EC0B59593F14}</vt:lpwstr>
  </property>
</Properties>
</file>