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filterPrivacy="1" codeName="ThisWorkbook" defaultThemeVersion="124226"/>
  <xr:revisionPtr revIDLastSave="80" documentId="8_{5F2B3526-B3E5-4D39-BB3A-3CB845107385}" xr6:coauthVersionLast="47" xr6:coauthVersionMax="47" xr10:uidLastSave="{7C7B7D14-4F18-4317-AFF1-86A0CD092BB2}"/>
  <bookViews>
    <workbookView xWindow="20370" yWindow="-120" windowWidth="29040" windowHeight="15840" tabRatio="822" xr2:uid="{00000000-000D-0000-FFFF-FFFF00000000}"/>
  </bookViews>
  <sheets>
    <sheet name="ESTIMATE" sheetId="12" r:id="rId1"/>
  </sheets>
  <definedNames>
    <definedName name="_xlnm._FilterDatabase" localSheetId="0" hidden="1">ESTIMATE!$E$1:$E$278</definedName>
    <definedName name="BRICK">#REF!</definedName>
    <definedName name="CARP">#REF!</definedName>
    <definedName name="CARPET">#REF!</definedName>
    <definedName name="ELECT">#REF!</definedName>
    <definedName name="FINISH">#REF!</definedName>
    <definedName name="GLAZER">#REF!</definedName>
    <definedName name="IRON">#REF!</definedName>
    <definedName name="LABOR">#REF!</definedName>
    <definedName name="OPER">#REF!</definedName>
    <definedName name="PAINT">#REF!</definedName>
    <definedName name="PAR">#REF!</definedName>
    <definedName name="PLUMB">#REF!</definedName>
    <definedName name="_xlnm.Print_Area" localSheetId="0">ESTIMATE!$A$1:$L$313</definedName>
    <definedName name="Print_Area_MI">#REF!</definedName>
    <definedName name="_xlnm.Print_Titles" localSheetId="0">ESTIMATE!$1:$6</definedName>
    <definedName name="ROOF">#REF!</definedName>
    <definedName name="SM">#REF!</definedName>
    <definedName name="SPRINKLER">#REF!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09" i="12" l="1"/>
  <c r="J309" i="12"/>
  <c r="K307" i="12"/>
  <c r="J307" i="12"/>
  <c r="K304" i="12"/>
  <c r="J304" i="12"/>
  <c r="K301" i="12"/>
  <c r="J301" i="12"/>
  <c r="K300" i="12"/>
  <c r="J300" i="12"/>
  <c r="K296" i="12"/>
  <c r="J296" i="12"/>
  <c r="F293" i="12"/>
  <c r="J293" i="12" s="1"/>
  <c r="K292" i="12"/>
  <c r="J292" i="12"/>
  <c r="I288" i="12"/>
  <c r="K288" i="12" s="1"/>
  <c r="H288" i="12"/>
  <c r="J288" i="12" s="1"/>
  <c r="I287" i="12"/>
  <c r="K287" i="12" s="1"/>
  <c r="H287" i="12"/>
  <c r="J287" i="12" s="1"/>
  <c r="F286" i="12"/>
  <c r="K286" i="12" s="1"/>
  <c r="I285" i="12"/>
  <c r="K285" i="12" s="1"/>
  <c r="H285" i="12"/>
  <c r="J285" i="12" s="1"/>
  <c r="K282" i="12"/>
  <c r="J282" i="12"/>
  <c r="K281" i="12"/>
  <c r="J281" i="12"/>
  <c r="F280" i="12"/>
  <c r="J280" i="12" s="1"/>
  <c r="L300" i="12" l="1"/>
  <c r="L304" i="12"/>
  <c r="L282" i="12"/>
  <c r="L296" i="12"/>
  <c r="L292" i="12"/>
  <c r="L301" i="12"/>
  <c r="L307" i="12"/>
  <c r="L281" i="12"/>
  <c r="L309" i="12"/>
  <c r="L288" i="12"/>
  <c r="K293" i="12"/>
  <c r="K280" i="12"/>
  <c r="K311" i="12" s="1"/>
  <c r="J286" i="12"/>
  <c r="L286" i="12" s="1"/>
  <c r="L285" i="12"/>
  <c r="L293" i="12"/>
  <c r="J311" i="12"/>
  <c r="L287" i="12"/>
  <c r="A24" i="12"/>
  <c r="A25" i="12"/>
  <c r="A26" i="12"/>
  <c r="A27" i="12"/>
  <c r="A30" i="12"/>
  <c r="A31" i="12"/>
  <c r="A32" i="12"/>
  <c r="A33" i="12"/>
  <c r="A34" i="12"/>
  <c r="A35" i="12"/>
  <c r="A41" i="12"/>
  <c r="A42" i="12"/>
  <c r="A48" i="12"/>
  <c r="A50" i="12"/>
  <c r="A51" i="12"/>
  <c r="A57" i="12"/>
  <c r="A58" i="12"/>
  <c r="A64" i="12"/>
  <c r="A66" i="12"/>
  <c r="A67" i="12"/>
  <c r="A73" i="12"/>
  <c r="A74" i="12"/>
  <c r="A80" i="12"/>
  <c r="A82" i="12"/>
  <c r="A83" i="12"/>
  <c r="A89" i="12"/>
  <c r="A90" i="12"/>
  <c r="A96" i="12"/>
  <c r="A98" i="12"/>
  <c r="A99" i="12"/>
  <c r="A100" i="12"/>
  <c r="A101" i="12"/>
  <c r="A107" i="12"/>
  <c r="A108" i="12"/>
  <c r="A109" i="12"/>
  <c r="A110" i="12"/>
  <c r="A111" i="12"/>
  <c r="A113" i="12"/>
  <c r="A114" i="12"/>
  <c r="A115" i="12"/>
  <c r="A116" i="12"/>
  <c r="A118" i="12"/>
  <c r="A119" i="12"/>
  <c r="A120" i="12"/>
  <c r="A121" i="12"/>
  <c r="A122" i="12"/>
  <c r="A123" i="12"/>
  <c r="A128" i="12"/>
  <c r="A129" i="12"/>
  <c r="A130" i="12"/>
  <c r="A131" i="12"/>
  <c r="A132" i="12"/>
  <c r="A133" i="12"/>
  <c r="A134" i="12"/>
  <c r="A136" i="12"/>
  <c r="A137" i="12"/>
  <c r="A138" i="12"/>
  <c r="A139" i="12"/>
  <c r="A141" i="12"/>
  <c r="A142" i="12"/>
  <c r="A143" i="12"/>
  <c r="A144" i="12"/>
  <c r="A146" i="12"/>
  <c r="A147" i="12"/>
  <c r="A148" i="12"/>
  <c r="A150" i="12"/>
  <c r="A151" i="12"/>
  <c r="A152" i="12"/>
  <c r="A153" i="12"/>
  <c r="A155" i="12"/>
  <c r="A157" i="12"/>
  <c r="A158" i="12"/>
  <c r="A159" i="12"/>
  <c r="A160" i="12"/>
  <c r="A162" i="12"/>
  <c r="A163" i="12"/>
  <c r="A164" i="12"/>
  <c r="A165" i="12"/>
  <c r="A167" i="12"/>
  <c r="A168" i="12"/>
  <c r="A169" i="12"/>
  <c r="A170" i="12"/>
  <c r="A172" i="12"/>
  <c r="A173" i="12"/>
  <c r="A174" i="12"/>
  <c r="A175" i="12"/>
  <c r="A178" i="12"/>
  <c r="A179" i="12"/>
  <c r="A180" i="12"/>
  <c r="A181" i="12"/>
  <c r="A183" i="12"/>
  <c r="A184" i="12"/>
  <c r="A185" i="12"/>
  <c r="A186" i="12"/>
  <c r="A188" i="12"/>
  <c r="A189" i="12"/>
  <c r="A190" i="12"/>
  <c r="A191" i="12"/>
  <c r="A193" i="12"/>
  <c r="A194" i="12"/>
  <c r="A195" i="12"/>
  <c r="A196" i="12"/>
  <c r="A200" i="12"/>
  <c r="A201" i="12"/>
  <c r="A202" i="12"/>
  <c r="A203" i="12"/>
  <c r="A204" i="12"/>
  <c r="A206" i="12"/>
  <c r="A208" i="12"/>
  <c r="A211" i="12"/>
  <c r="A212" i="12"/>
  <c r="A213" i="12"/>
  <c r="A214" i="12"/>
  <c r="A215" i="12"/>
  <c r="A222" i="12"/>
  <c r="A223" i="12"/>
  <c r="A224" i="12"/>
  <c r="A225" i="12"/>
  <c r="A226" i="12"/>
  <c r="A227" i="12"/>
  <c r="A229" i="12"/>
  <c r="A230" i="12"/>
  <c r="A236" i="12"/>
  <c r="A237" i="12"/>
  <c r="A240" i="12"/>
  <c r="A241" i="12"/>
  <c r="A242" i="12"/>
  <c r="A243" i="12"/>
  <c r="A245" i="12"/>
  <c r="A246" i="12"/>
  <c r="A247" i="12"/>
  <c r="A248" i="12"/>
  <c r="A249" i="12"/>
  <c r="A256" i="12"/>
  <c r="A257" i="12"/>
  <c r="A259" i="12"/>
  <c r="A260" i="12"/>
  <c r="A261" i="12"/>
  <c r="A262" i="12"/>
  <c r="A263" i="12"/>
  <c r="A265" i="12"/>
  <c r="A266" i="12"/>
  <c r="A267" i="12"/>
  <c r="A268" i="12"/>
  <c r="A269" i="12"/>
  <c r="A271" i="12"/>
  <c r="A272" i="12"/>
  <c r="L280" i="12" l="1"/>
  <c r="K312" i="12"/>
  <c r="K313" i="12" s="1"/>
  <c r="J29" i="12"/>
  <c r="J95" i="12"/>
  <c r="J94" i="12"/>
  <c r="J93" i="12"/>
  <c r="J92" i="12"/>
  <c r="J88" i="12"/>
  <c r="J87" i="12"/>
  <c r="J86" i="12"/>
  <c r="J85" i="12"/>
  <c r="J79" i="12"/>
  <c r="J78" i="12"/>
  <c r="J77" i="12"/>
  <c r="J76" i="12"/>
  <c r="J72" i="12"/>
  <c r="J71" i="12"/>
  <c r="J70" i="12"/>
  <c r="J69" i="12"/>
  <c r="J63" i="12"/>
  <c r="J62" i="12"/>
  <c r="J61" i="12"/>
  <c r="J60" i="12"/>
  <c r="J56" i="12"/>
  <c r="J55" i="12"/>
  <c r="J54" i="12"/>
  <c r="J53" i="12"/>
  <c r="J47" i="12"/>
  <c r="J46" i="12"/>
  <c r="J45" i="12"/>
  <c r="J44" i="12"/>
  <c r="J91" i="12"/>
  <c r="J84" i="12"/>
  <c r="J75" i="12"/>
  <c r="J68" i="12"/>
  <c r="J59" i="12"/>
  <c r="J52" i="12"/>
  <c r="J43" i="12"/>
  <c r="J38" i="12"/>
  <c r="J161" i="12" l="1"/>
  <c r="J156" i="12"/>
  <c r="J166" i="12"/>
  <c r="J154" i="12"/>
  <c r="J149" i="12"/>
  <c r="F14" i="12"/>
  <c r="H106" i="12" l="1"/>
  <c r="K106" i="12" s="1"/>
  <c r="F105" i="12"/>
  <c r="H105" i="12" s="1"/>
  <c r="K105" i="12" s="1"/>
  <c r="F104" i="12"/>
  <c r="H104" i="12" s="1"/>
  <c r="K104" i="12" s="1"/>
  <c r="H103" i="12"/>
  <c r="K103" i="12" s="1"/>
  <c r="H102" i="12"/>
  <c r="D102" i="12" s="1"/>
  <c r="H97" i="12"/>
  <c r="F95" i="12"/>
  <c r="H95" i="12" s="1"/>
  <c r="K95" i="12" s="1"/>
  <c r="F94" i="12"/>
  <c r="H94" i="12" s="1"/>
  <c r="K94" i="12" s="1"/>
  <c r="F93" i="12"/>
  <c r="H93" i="12" s="1"/>
  <c r="K93" i="12" s="1"/>
  <c r="F92" i="12"/>
  <c r="H92" i="12" s="1"/>
  <c r="K92" i="12" s="1"/>
  <c r="F91" i="12"/>
  <c r="H91" i="12" s="1"/>
  <c r="K91" i="12" s="1"/>
  <c r="F88" i="12"/>
  <c r="H88" i="12" s="1"/>
  <c r="K88" i="12" s="1"/>
  <c r="F87" i="12"/>
  <c r="H87" i="12" s="1"/>
  <c r="K87" i="12" s="1"/>
  <c r="F86" i="12"/>
  <c r="H86" i="12" s="1"/>
  <c r="K86" i="12" s="1"/>
  <c r="F85" i="12"/>
  <c r="H85" i="12" s="1"/>
  <c r="K85" i="12" s="1"/>
  <c r="F84" i="12"/>
  <c r="H84" i="12" s="1"/>
  <c r="K84" i="12" s="1"/>
  <c r="H81" i="12"/>
  <c r="F79" i="12"/>
  <c r="F78" i="12"/>
  <c r="F77" i="12"/>
  <c r="F76" i="12"/>
  <c r="F75" i="12"/>
  <c r="F72" i="12"/>
  <c r="H72" i="12" s="1"/>
  <c r="K72" i="12" s="1"/>
  <c r="F71" i="12"/>
  <c r="H71" i="12" s="1"/>
  <c r="K71" i="12" s="1"/>
  <c r="F70" i="12"/>
  <c r="H70" i="12" s="1"/>
  <c r="K70" i="12" s="1"/>
  <c r="F69" i="12"/>
  <c r="H69" i="12" s="1"/>
  <c r="K69" i="12" s="1"/>
  <c r="F68" i="12"/>
  <c r="H68" i="12" s="1"/>
  <c r="K68" i="12" s="1"/>
  <c r="H65" i="12"/>
  <c r="F63" i="12"/>
  <c r="H63" i="12" s="1"/>
  <c r="K63" i="12" s="1"/>
  <c r="F62" i="12"/>
  <c r="H62" i="12" s="1"/>
  <c r="K62" i="12" s="1"/>
  <c r="F61" i="12"/>
  <c r="H61" i="12" s="1"/>
  <c r="K61" i="12" s="1"/>
  <c r="F60" i="12"/>
  <c r="H60" i="12" s="1"/>
  <c r="K60" i="12" s="1"/>
  <c r="F59" i="12"/>
  <c r="H59" i="12" s="1"/>
  <c r="K59" i="12" s="1"/>
  <c r="F56" i="12"/>
  <c r="H56" i="12" s="1"/>
  <c r="K56" i="12" s="1"/>
  <c r="F55" i="12"/>
  <c r="H55" i="12" s="1"/>
  <c r="K55" i="12" s="1"/>
  <c r="F54" i="12"/>
  <c r="H54" i="12" s="1"/>
  <c r="K54" i="12" s="1"/>
  <c r="F53" i="12"/>
  <c r="H53" i="12" s="1"/>
  <c r="K53" i="12" s="1"/>
  <c r="F52" i="12"/>
  <c r="H52" i="12" s="1"/>
  <c r="K52" i="12" s="1"/>
  <c r="H49" i="12"/>
  <c r="F47" i="12"/>
  <c r="H47" i="12" s="1"/>
  <c r="K47" i="12" s="1"/>
  <c r="F46" i="12"/>
  <c r="H46" i="12" s="1"/>
  <c r="K46" i="12" s="1"/>
  <c r="F45" i="12"/>
  <c r="H45" i="12" s="1"/>
  <c r="K45" i="12" s="1"/>
  <c r="F44" i="12"/>
  <c r="H44" i="12" s="1"/>
  <c r="K44" i="12" s="1"/>
  <c r="F43" i="12"/>
  <c r="H43" i="12" s="1"/>
  <c r="K43" i="12" s="1"/>
  <c r="F40" i="12"/>
  <c r="F39" i="12"/>
  <c r="F38" i="12"/>
  <c r="F37" i="12"/>
  <c r="F36" i="12"/>
  <c r="F29" i="12"/>
  <c r="H29" i="12" s="1"/>
  <c r="K29" i="12" s="1"/>
  <c r="F28" i="12"/>
  <c r="H28" i="12" s="1"/>
  <c r="K28" i="12" s="1"/>
  <c r="H23" i="12"/>
  <c r="K23" i="12" s="1"/>
  <c r="H22" i="12"/>
  <c r="K22" i="12" s="1"/>
  <c r="L31" i="12" l="1"/>
  <c r="J65" i="12"/>
  <c r="K65" i="12" s="1"/>
  <c r="J97" i="12"/>
  <c r="K97" i="12" s="1"/>
  <c r="H37" i="12"/>
  <c r="K37" i="12" s="1"/>
  <c r="H75" i="12"/>
  <c r="K75" i="12" s="1"/>
  <c r="H77" i="12"/>
  <c r="K77" i="12" s="1"/>
  <c r="H79" i="12"/>
  <c r="K79" i="12" s="1"/>
  <c r="K102" i="12"/>
  <c r="H36" i="12"/>
  <c r="K36" i="12" s="1"/>
  <c r="H38" i="12"/>
  <c r="K38" i="12" s="1"/>
  <c r="H39" i="12"/>
  <c r="K39" i="12" s="1"/>
  <c r="H40" i="12"/>
  <c r="K40" i="12" s="1"/>
  <c r="H76" i="12"/>
  <c r="K76" i="12" s="1"/>
  <c r="H78" i="12"/>
  <c r="K78" i="12" s="1"/>
  <c r="F205" i="12"/>
  <c r="F166" i="12"/>
  <c r="F161" i="12"/>
  <c r="F156" i="12"/>
  <c r="F154" i="12"/>
  <c r="H154" i="12" s="1"/>
  <c r="K154" i="12" s="1"/>
  <c r="F149" i="12"/>
  <c r="H149" i="12" s="1"/>
  <c r="F145" i="12"/>
  <c r="F140" i="12"/>
  <c r="F135" i="12"/>
  <c r="H135" i="12" s="1"/>
  <c r="H138" i="12" s="1"/>
  <c r="H166" i="12"/>
  <c r="K166" i="12" s="1"/>
  <c r="H161" i="12"/>
  <c r="H165" i="12" s="1"/>
  <c r="F197" i="12"/>
  <c r="F187" i="12"/>
  <c r="H187" i="12" s="1"/>
  <c r="K187" i="12" s="1"/>
  <c r="L189" i="12" s="1"/>
  <c r="F198" i="12"/>
  <c r="H198" i="12" s="1"/>
  <c r="K198" i="12" s="1"/>
  <c r="H255" i="12"/>
  <c r="K255" i="12" s="1"/>
  <c r="H254" i="12"/>
  <c r="K254" i="12" s="1"/>
  <c r="F234" i="12"/>
  <c r="H234" i="12" s="1"/>
  <c r="K234" i="12" s="1"/>
  <c r="F239" i="12"/>
  <c r="H239" i="12" s="1"/>
  <c r="K239" i="12" s="1"/>
  <c r="F238" i="12"/>
  <c r="H238" i="12" s="1"/>
  <c r="K238" i="12" s="1"/>
  <c r="F233" i="12"/>
  <c r="H233" i="12" s="1"/>
  <c r="K233" i="12" s="1"/>
  <c r="F232" i="12"/>
  <c r="H232" i="12" s="1"/>
  <c r="K232" i="12" s="1"/>
  <c r="F231" i="12"/>
  <c r="F228" i="12"/>
  <c r="H244" i="12"/>
  <c r="K244" i="12" s="1"/>
  <c r="H235" i="12"/>
  <c r="K235" i="12" s="1"/>
  <c r="H231" i="12"/>
  <c r="K231" i="12" s="1"/>
  <c r="H199" i="12"/>
  <c r="K199" i="12" s="1"/>
  <c r="H192" i="12"/>
  <c r="K192" i="12" s="1"/>
  <c r="L194" i="12" s="1"/>
  <c r="F176" i="12"/>
  <c r="F177" i="12"/>
  <c r="F182" i="12"/>
  <c r="F117" i="12"/>
  <c r="H125" i="12"/>
  <c r="K125" i="12" s="1"/>
  <c r="H221" i="12"/>
  <c r="K221" i="12" s="1"/>
  <c r="H220" i="12"/>
  <c r="K220" i="12" s="1"/>
  <c r="F15" i="12"/>
  <c r="F20" i="12"/>
  <c r="F16" i="12"/>
  <c r="F18" i="12"/>
  <c r="F19" i="12"/>
  <c r="L108" i="12" l="1"/>
  <c r="J49" i="12"/>
  <c r="K49" i="12" s="1"/>
  <c r="J81" i="12"/>
  <c r="K81" i="12" s="1"/>
  <c r="H156" i="12"/>
  <c r="H159" i="12" s="1"/>
  <c r="H152" i="12"/>
  <c r="H150" i="12"/>
  <c r="H151" i="12" s="1"/>
  <c r="H153" i="12"/>
  <c r="K149" i="12"/>
  <c r="H139" i="12"/>
  <c r="H162" i="12"/>
  <c r="H163" i="12" s="1"/>
  <c r="H164" i="12"/>
  <c r="K161" i="12"/>
  <c r="K135" i="12"/>
  <c r="H136" i="12"/>
  <c r="H137" i="12" s="1"/>
  <c r="H228" i="12"/>
  <c r="K228" i="12" s="1"/>
  <c r="L241" i="12" s="1"/>
  <c r="A9" i="12"/>
  <c r="A10" i="12"/>
  <c r="A11" i="12"/>
  <c r="A12" i="12"/>
  <c r="A13" i="12"/>
  <c r="L99" i="12" l="1"/>
  <c r="K156" i="12"/>
  <c r="H160" i="12"/>
  <c r="H157" i="12"/>
  <c r="H158" i="12" s="1"/>
  <c r="H8" i="12" l="1"/>
  <c r="K8" i="12" s="1"/>
  <c r="L10" i="12" s="1"/>
  <c r="H145" i="12" l="1"/>
  <c r="K145" i="12" s="1"/>
  <c r="H140" i="12"/>
  <c r="H143" i="12" s="1"/>
  <c r="K140" i="12" l="1"/>
  <c r="L168" i="12" s="1"/>
  <c r="H144" i="12"/>
  <c r="H141" i="12"/>
  <c r="H142" i="12" s="1"/>
  <c r="H117" i="12"/>
  <c r="K117" i="12" s="1"/>
  <c r="L119" i="12" l="1"/>
  <c r="H252" i="12" l="1"/>
  <c r="K252" i="12" s="1"/>
  <c r="H253" i="12"/>
  <c r="K253" i="12" s="1"/>
  <c r="H20" i="12" l="1"/>
  <c r="K20" i="12" s="1"/>
  <c r="H21" i="12"/>
  <c r="K21" i="12" s="1"/>
  <c r="H17" i="12"/>
  <c r="K17" i="12" s="1"/>
  <c r="H19" i="12" l="1"/>
  <c r="K19" i="12" s="1"/>
  <c r="H112" i="12" l="1"/>
  <c r="H251" i="12" l="1"/>
  <c r="K251" i="12" s="1"/>
  <c r="H270" i="12" l="1"/>
  <c r="K270" i="12" s="1"/>
  <c r="L272" i="12" s="1"/>
  <c r="H219" i="12" l="1"/>
  <c r="H218" i="12"/>
  <c r="H217" i="12"/>
  <c r="H216" i="12"/>
  <c r="H197" i="12"/>
  <c r="K197" i="12" s="1"/>
  <c r="L201" i="12" s="1"/>
  <c r="K217" i="12" l="1"/>
  <c r="K216" i="12"/>
  <c r="K218" i="12"/>
  <c r="K219" i="12"/>
  <c r="L223" i="12" l="1"/>
  <c r="K112" i="12" l="1"/>
  <c r="L114" i="12" s="1"/>
  <c r="H258" i="12"/>
  <c r="K258" i="12" s="1"/>
  <c r="H250" i="12"/>
  <c r="K250" i="12" s="1"/>
  <c r="H209" i="12"/>
  <c r="K209" i="12" s="1"/>
  <c r="L246" i="12" l="1"/>
  <c r="H177" i="12"/>
  <c r="K177" i="12" s="1"/>
  <c r="H176" i="12"/>
  <c r="K176" i="12" s="1"/>
  <c r="H171" i="12"/>
  <c r="K171" i="12" s="1"/>
  <c r="L173" i="12" s="1"/>
  <c r="H124" i="12"/>
  <c r="K124" i="12" s="1"/>
  <c r="H127" i="12"/>
  <c r="K127" i="12" s="1"/>
  <c r="H126" i="12"/>
  <c r="K126" i="12" s="1"/>
  <c r="H18" i="12"/>
  <c r="K18" i="12" s="1"/>
  <c r="H16" i="12"/>
  <c r="K16" i="12" s="1"/>
  <c r="H14" i="12"/>
  <c r="K14" i="12" s="1"/>
  <c r="L179" i="12" l="1"/>
  <c r="H15" i="12"/>
  <c r="K15" i="12" s="1"/>
  <c r="L260" i="12"/>
  <c r="L25" i="12" l="1"/>
  <c r="H210" i="12"/>
  <c r="K210" i="12" s="1"/>
  <c r="H207" i="12"/>
  <c r="K207" i="12" s="1"/>
  <c r="H182" i="12"/>
  <c r="K182" i="12" s="1"/>
  <c r="L184" i="12" l="1"/>
  <c r="H205" i="12"/>
  <c r="K205" i="12" s="1"/>
  <c r="L212" i="12" l="1"/>
  <c r="L129" i="12" l="1"/>
  <c r="A7" i="12" l="1"/>
  <c r="A8" i="12" l="1"/>
  <c r="A14" i="12" l="1"/>
  <c r="A15" i="12" s="1"/>
  <c r="A16" i="12" l="1"/>
  <c r="A17" i="12" s="1"/>
  <c r="H264" i="12"/>
  <c r="K264" i="12" s="1"/>
  <c r="A18" i="12" l="1"/>
  <c r="L266" i="12"/>
  <c r="A19" i="12" l="1"/>
  <c r="A20" i="12" s="1"/>
  <c r="K273" i="12"/>
  <c r="A21" i="12" l="1"/>
  <c r="A22" i="12" s="1"/>
  <c r="A23" i="12" s="1"/>
  <c r="A28" i="12" s="1"/>
  <c r="A29" i="12" s="1"/>
  <c r="K274" i="12"/>
  <c r="K275" i="12"/>
  <c r="L273" i="12"/>
  <c r="A36" i="12" l="1"/>
  <c r="A37" i="12" s="1"/>
  <c r="A38" i="12" s="1"/>
  <c r="A39" i="12" s="1"/>
  <c r="A40" i="12" s="1"/>
  <c r="A43" i="12" s="1"/>
  <c r="A44" i="12" s="1"/>
  <c r="A45" i="12" s="1"/>
  <c r="A46" i="12" s="1"/>
  <c r="A47" i="12" s="1"/>
  <c r="A49" i="12" s="1"/>
  <c r="A52" i="12" s="1"/>
  <c r="A53" i="12" s="1"/>
  <c r="A54" i="12" s="1"/>
  <c r="A55" i="12" s="1"/>
  <c r="A56" i="12" s="1"/>
  <c r="A59" i="12" s="1"/>
  <c r="A60" i="12" s="1"/>
  <c r="A61" i="12" s="1"/>
  <c r="A62" i="12" s="1"/>
  <c r="A63" i="12" s="1"/>
  <c r="A65" i="12" s="1"/>
  <c r="A68" i="12" s="1"/>
  <c r="A69" i="12" s="1"/>
  <c r="A70" i="12" s="1"/>
  <c r="A71" i="12" s="1"/>
  <c r="A72" i="12" s="1"/>
  <c r="A75" i="12" s="1"/>
  <c r="A76" i="12" s="1"/>
  <c r="A77" i="12" s="1"/>
  <c r="A78" i="12" s="1"/>
  <c r="A79" i="12" s="1"/>
  <c r="A81" i="12" s="1"/>
  <c r="A84" i="12" s="1"/>
  <c r="A85" i="12" s="1"/>
  <c r="A86" i="12" s="1"/>
  <c r="A87" i="12" s="1"/>
  <c r="A88" i="12" s="1"/>
  <c r="A91" i="12" s="1"/>
  <c r="A92" i="12" s="1"/>
  <c r="A93" i="12" s="1"/>
  <c r="A94" i="12" s="1"/>
  <c r="A95" i="12" s="1"/>
  <c r="A97" i="12" s="1"/>
  <c r="A102" i="12" s="1"/>
  <c r="A103" i="12" s="1"/>
  <c r="A104" i="12" s="1"/>
  <c r="A105" i="12" s="1"/>
  <c r="A106" i="12" s="1"/>
  <c r="A112" i="12" s="1"/>
  <c r="A117" i="12" s="1"/>
  <c r="A124" i="12" s="1"/>
  <c r="A125" i="12" s="1"/>
  <c r="A126" i="12" s="1"/>
  <c r="A127" i="12" s="1"/>
  <c r="A135" i="12" s="1"/>
  <c r="A140" i="12" s="1"/>
  <c r="A145" i="12" s="1"/>
  <c r="A149" i="12" s="1"/>
  <c r="A154" i="12" s="1"/>
  <c r="A156" i="12" s="1"/>
  <c r="A161" i="12" s="1"/>
  <c r="A166" i="12" s="1"/>
  <c r="A171" i="12" s="1"/>
  <c r="A176" i="12" s="1"/>
  <c r="A177" i="12" s="1"/>
  <c r="A182" i="12" s="1"/>
  <c r="A187" i="12" s="1"/>
  <c r="A192" i="12" s="1"/>
  <c r="A197" i="12" s="1"/>
  <c r="A198" i="12" s="1"/>
  <c r="A199" i="12" s="1"/>
  <c r="A205" i="12" s="1"/>
  <c r="A207" i="12" s="1"/>
  <c r="A209" i="12" s="1"/>
  <c r="A210" i="12" s="1"/>
  <c r="A216" i="12" s="1"/>
  <c r="A217" i="12" s="1"/>
  <c r="A218" i="12" s="1"/>
  <c r="A219" i="12" s="1"/>
  <c r="A220" i="12" s="1"/>
  <c r="A221" i="12" s="1"/>
  <c r="A228" i="12" s="1"/>
  <c r="A231" i="12" s="1"/>
  <c r="A232" i="12" s="1"/>
  <c r="A233" i="12" s="1"/>
  <c r="A234" i="12" s="1"/>
  <c r="A235" i="12" s="1"/>
  <c r="A238" i="12" s="1"/>
  <c r="A239" i="12" s="1"/>
  <c r="A244" i="12" s="1"/>
  <c r="A250" i="12" s="1"/>
  <c r="A251" i="12" s="1"/>
  <c r="A252" i="12" s="1"/>
  <c r="A253" i="12" s="1"/>
  <c r="A254" i="12" s="1"/>
  <c r="A255" i="12" s="1"/>
  <c r="A258" i="12" s="1"/>
  <c r="A264" i="12" s="1"/>
  <c r="A270" i="12" s="1"/>
  <c r="L275" i="12"/>
  <c r="L274" i="12"/>
  <c r="L276" i="12" l="1"/>
  <c r="C5" i="12" l="1"/>
</calcChain>
</file>

<file path=xl/sharedStrings.xml><?xml version="1.0" encoding="utf-8"?>
<sst xmlns="http://schemas.openxmlformats.org/spreadsheetml/2006/main" count="569" uniqueCount="225">
  <si>
    <t>UNIT</t>
  </si>
  <si>
    <t>DESCRIPTION</t>
  </si>
  <si>
    <t>UNIT COST</t>
  </si>
  <si>
    <t>TOTAL BASE BID</t>
  </si>
  <si>
    <t>WASTE</t>
  </si>
  <si>
    <t>QTY. W/ WASTE</t>
  </si>
  <si>
    <t>TOTAL COST</t>
  </si>
  <si>
    <t>PROJECT</t>
  </si>
  <si>
    <t>ADDRESS</t>
  </si>
  <si>
    <t>Date of submission</t>
  </si>
  <si>
    <t>Date of plans</t>
  </si>
  <si>
    <t>SR #</t>
  </si>
  <si>
    <t>SUB TOTALS</t>
  </si>
  <si>
    <t>Rev 0</t>
  </si>
  <si>
    <t>SUB - TOTAL</t>
  </si>
  <si>
    <t>LF</t>
  </si>
  <si>
    <t>Sheet
No.</t>
  </si>
  <si>
    <t>Detail
No.</t>
  </si>
  <si>
    <t>SF</t>
  </si>
  <si>
    <t>CSI
No.</t>
  </si>
  <si>
    <t>EA</t>
  </si>
  <si>
    <t>09 00 00</t>
  </si>
  <si>
    <t>FINISHES</t>
  </si>
  <si>
    <t>10 00 00</t>
  </si>
  <si>
    <t>SPECIALITIES</t>
  </si>
  <si>
    <t>12 00 00</t>
  </si>
  <si>
    <t>FURNISHINGS</t>
  </si>
  <si>
    <t>LS</t>
  </si>
  <si>
    <t>Millwork Sub Total</t>
  </si>
  <si>
    <t>BATHROOM ACCESSORIES</t>
  </si>
  <si>
    <t>Bathroom Accessoreis Sub Total</t>
  </si>
  <si>
    <t>01 00 00</t>
  </si>
  <si>
    <t>GENERAL CONDITIONS</t>
  </si>
  <si>
    <t>General Conditions Sub Total</t>
  </si>
  <si>
    <t>22 00 00</t>
  </si>
  <si>
    <t>PLUMBING</t>
  </si>
  <si>
    <t>FIXTURES</t>
  </si>
  <si>
    <t xml:space="preserve">26 00 00 </t>
  </si>
  <si>
    <t>ELECTRICAL</t>
  </si>
  <si>
    <t>Electrical Sub Total</t>
  </si>
  <si>
    <t>SOLID SURFACE COUNTERTOP AND BACKSPLASH</t>
  </si>
  <si>
    <t xml:space="preserve">ALLOWANCE </t>
  </si>
  <si>
    <t>Exculsions</t>
  </si>
  <si>
    <t>Plumbing Sub Total</t>
  </si>
  <si>
    <t>Soap Dispenser</t>
  </si>
  <si>
    <t>PAINTING</t>
  </si>
  <si>
    <t>PAINT ON WALLS</t>
  </si>
  <si>
    <t>PAINT ON CEILING</t>
  </si>
  <si>
    <t>Painting Sub Total</t>
  </si>
  <si>
    <t xml:space="preserve">4'x8' GB Sheet </t>
  </si>
  <si>
    <t>Sheets</t>
  </si>
  <si>
    <t>500' Tape Roll</t>
  </si>
  <si>
    <t>Rolls</t>
  </si>
  <si>
    <t>Joint Compound</t>
  </si>
  <si>
    <t>Gallons</t>
  </si>
  <si>
    <t>1-1/4" Drywall Screws</t>
  </si>
  <si>
    <t>Pounds</t>
  </si>
  <si>
    <t xml:space="preserve">Accoustic Sealant At Top &amp; Bottom </t>
  </si>
  <si>
    <t>EA.</t>
  </si>
  <si>
    <t>DRYWALL ASSEMBLIES</t>
  </si>
  <si>
    <t>Openings Sub Total</t>
  </si>
  <si>
    <t>08 00 00</t>
  </si>
  <si>
    <t>OPENINGS</t>
  </si>
  <si>
    <t>DOORS, FRAMES &amp; HARDWARES</t>
  </si>
  <si>
    <t>FIRST FLOOR</t>
  </si>
  <si>
    <t>Drywall Assemblies Sub Total</t>
  </si>
  <si>
    <t>GWB CEILING</t>
  </si>
  <si>
    <t>GWB Ceiling Sub Total</t>
  </si>
  <si>
    <t>SHELVES</t>
  </si>
  <si>
    <t>Tissue Paper Holder</t>
  </si>
  <si>
    <t>Water Closet</t>
  </si>
  <si>
    <t>Sink &amp; Faucet</t>
  </si>
  <si>
    <t>03 00 00</t>
  </si>
  <si>
    <t>02 00 00</t>
  </si>
  <si>
    <t>DEMOLITION</t>
  </si>
  <si>
    <t>EXISTING CONDITION</t>
  </si>
  <si>
    <t>Demolition Sub Total</t>
  </si>
  <si>
    <t>Remove Existing Interior Walls</t>
  </si>
  <si>
    <t>Remove Existing Flooring</t>
  </si>
  <si>
    <t>INTERIOR DOORS</t>
  </si>
  <si>
    <t>2x4 INTERIOR WALLS</t>
  </si>
  <si>
    <t>SECOND FLOOR</t>
  </si>
  <si>
    <t>WOOD FLOORING</t>
  </si>
  <si>
    <t xml:space="preserve">Hardwood Flooring </t>
  </si>
  <si>
    <t>Wood Flooring Sub Total</t>
  </si>
  <si>
    <t>TILING</t>
  </si>
  <si>
    <t>Tiling Sub Total</t>
  </si>
  <si>
    <t>Toilet Seat Cover</t>
  </si>
  <si>
    <t>06 00 00</t>
  </si>
  <si>
    <t>WOOD, PLASTICS &amp; COMPOSITES</t>
  </si>
  <si>
    <t>Doors Trim</t>
  </si>
  <si>
    <t>2'-0" Deep Base Cabinet</t>
  </si>
  <si>
    <t>Paint On Ceiling</t>
  </si>
  <si>
    <t>PAINT ON DOORS</t>
  </si>
  <si>
    <t>Paint On Single Panel Doors</t>
  </si>
  <si>
    <t>Paint On Double Panel Doors</t>
  </si>
  <si>
    <t>Paint On Walls</t>
  </si>
  <si>
    <t>MECHANICAL</t>
  </si>
  <si>
    <t>Mechanical Sub Total</t>
  </si>
  <si>
    <t>Interior Wall Framing Second Floor:</t>
  </si>
  <si>
    <t>Beam/Headers:</t>
  </si>
  <si>
    <t>Wood Posts:</t>
  </si>
  <si>
    <t>Allowance For Misc. Hardware</t>
  </si>
  <si>
    <t>Note: 10% Wastage is figured with all quantities</t>
  </si>
  <si>
    <t>Total Labor</t>
  </si>
  <si>
    <t>Total Material</t>
  </si>
  <si>
    <t>SALES TAX</t>
  </si>
  <si>
    <t>CONCRETE</t>
  </si>
  <si>
    <t>CY</t>
  </si>
  <si>
    <t>LB</t>
  </si>
  <si>
    <t>Formwork</t>
  </si>
  <si>
    <t>SFCA</t>
  </si>
  <si>
    <t>Excavation (Hand Dig)</t>
  </si>
  <si>
    <t>Anything Not Mentioned Above</t>
  </si>
  <si>
    <t>ALLOWANCE</t>
  </si>
  <si>
    <t xml:space="preserve"> </t>
  </si>
  <si>
    <t xml:space="preserve">QTY. </t>
  </si>
  <si>
    <t>Allowance For Mechanical Works</t>
  </si>
  <si>
    <t>LUMBER FRAMING</t>
  </si>
  <si>
    <t>Lumber Framing</t>
  </si>
  <si>
    <t>Lumber Sub Total</t>
  </si>
  <si>
    <t>Remove Existing Ceilings</t>
  </si>
  <si>
    <t>Remove Existing Doors (Single Panel)</t>
  </si>
  <si>
    <t>Wood Wall Base</t>
  </si>
  <si>
    <r>
      <t>Countertop W/
- 4" Backsplash</t>
    </r>
    <r>
      <rPr>
        <b/>
        <sz val="12"/>
        <rFont val="Calibri"/>
        <family val="2"/>
        <scheme val="minor"/>
      </rPr>
      <t/>
    </r>
  </si>
  <si>
    <t>Closet W/
- Shelves &amp; Rod</t>
  </si>
  <si>
    <t>2x4x92 5/8" DF #2</t>
  </si>
  <si>
    <t>2x4x16' PT DF #2</t>
  </si>
  <si>
    <t>2x4x16' DF #2</t>
  </si>
  <si>
    <t>General Requirements
- Mobilization
- Permits
- Project Supervision
- Cleaning
- Insurance
- Submittals
- Shop Drawings
- Temporary Facilites</t>
  </si>
  <si>
    <t>OVER HEAD &amp; PROFIT</t>
  </si>
  <si>
    <t>Remove Existing Misc. Item</t>
  </si>
  <si>
    <t>Remove Existing Post 6x6</t>
  </si>
  <si>
    <t>Remove Existing Doors (Double Panel)</t>
  </si>
  <si>
    <t>Remove Existing Concrete Wall</t>
  </si>
  <si>
    <t>A-01</t>
  </si>
  <si>
    <r>
      <t>Shower Curtain Rod</t>
    </r>
    <r>
      <rPr>
        <b/>
        <sz val="12"/>
        <rFont val="Calibri"/>
        <family val="2"/>
        <scheme val="minor"/>
      </rPr>
      <t xml:space="preserve"> (4'-0" Wide)</t>
    </r>
  </si>
  <si>
    <r>
      <t xml:space="preserve">Mirror </t>
    </r>
    <r>
      <rPr>
        <b/>
        <sz val="12"/>
        <rFont val="Calibri"/>
        <family val="2"/>
        <scheme val="minor"/>
      </rPr>
      <t>(3'-1" Wide)</t>
    </r>
  </si>
  <si>
    <t>Trash Receptacle</t>
  </si>
  <si>
    <r>
      <t>Double Panel Bifold Doors
Size: 4'-0" x 6'-8"</t>
    </r>
    <r>
      <rPr>
        <b/>
        <i/>
        <sz val="12"/>
        <rFont val="Calibri"/>
        <family val="2"/>
        <scheme val="minor"/>
      </rPr>
      <t xml:space="preserve"> </t>
    </r>
  </si>
  <si>
    <r>
      <t>Double Panel Bifold Doors
Size: 3'-0" x 6'-8"</t>
    </r>
    <r>
      <rPr>
        <b/>
        <i/>
        <sz val="12"/>
        <rFont val="Calibri"/>
        <family val="2"/>
        <scheme val="minor"/>
      </rPr>
      <t xml:space="preserve"> </t>
    </r>
  </si>
  <si>
    <t>Swing Single Panel Doors
Size: 2'-4" x 6'-8"</t>
  </si>
  <si>
    <t>Swing Single Panel Doors
Size: 2'-8" x 6'-8"</t>
  </si>
  <si>
    <t>DOOR TRIMS</t>
  </si>
  <si>
    <t>Doors Trim Sub Total</t>
  </si>
  <si>
    <t xml:space="preserve">Tile Flooring @ Bath </t>
  </si>
  <si>
    <t>Full Height Wall Tiles @ Bath</t>
  </si>
  <si>
    <t>TRANSITION</t>
  </si>
  <si>
    <t>Threshold (Wood To Tile)</t>
  </si>
  <si>
    <t>Transition Sub Total</t>
  </si>
  <si>
    <t>PATCH &amp; REPAIR</t>
  </si>
  <si>
    <t>Patch &amp; Repair Existing Walls</t>
  </si>
  <si>
    <t>Patch &amp; Repair Existing Ceilings</t>
  </si>
  <si>
    <t>Patch &amp; Repair Existing Floor Finishes</t>
  </si>
  <si>
    <t>MILLWORK</t>
  </si>
  <si>
    <t>FURNITURE</t>
  </si>
  <si>
    <t>Chairs</t>
  </si>
  <si>
    <t>Furniture Sub Total</t>
  </si>
  <si>
    <t>1'-0" Deep Base Cabinet</t>
  </si>
  <si>
    <t>1'-2" Deep Base Cabinet</t>
  </si>
  <si>
    <r>
      <t xml:space="preserve">Shelves </t>
    </r>
    <r>
      <rPr>
        <b/>
        <i/>
        <sz val="12"/>
        <rFont val="Calibri"/>
        <family val="2"/>
        <scheme val="minor"/>
      </rPr>
      <t>(Assumed 03 Shelves)</t>
    </r>
  </si>
  <si>
    <t>1'-3" Deep Vanity Base Cabinet</t>
  </si>
  <si>
    <t>Full Height Pantry Cabinet 3'-5" Deep x 8'-2" High</t>
  </si>
  <si>
    <t>Bar Sink &amp; Faucet</t>
  </si>
  <si>
    <t>Shower Enclosure W/ Accessories 
Size: 3'-0" x 4'-0"</t>
  </si>
  <si>
    <t>Water Heater</t>
  </si>
  <si>
    <t>Furnace</t>
  </si>
  <si>
    <t>Note: Plans do not clearly indicates whether the water heater and furnace are new or existing so we have provided the quantity but have not added price in it. Please confirm and add prce if required</t>
  </si>
  <si>
    <t>CABINETS</t>
  </si>
  <si>
    <t>GWB Ceiling As;
- (1) Layer of 1/2" Type"X" Gypsum Board Ceiling Attached To Josit Framing</t>
  </si>
  <si>
    <t>Wood Wall Base Sub Total</t>
  </si>
  <si>
    <t>WOOD WALL BASE</t>
  </si>
  <si>
    <t>BASEMENT FLOOR</t>
  </si>
  <si>
    <t>1 Layer of 1/2" Type"X" Gypsum Board on Both Sides of Wall</t>
  </si>
  <si>
    <t xml:space="preserve">1 Layer of 1/2" Type"X" Moisture Resistant Gypsum Board </t>
  </si>
  <si>
    <t>2x4 INTERIOR INFILL WALLS</t>
  </si>
  <si>
    <t>BASEMENT</t>
  </si>
  <si>
    <t>3-1/2x11-1/4 M.L.</t>
  </si>
  <si>
    <t>3-1/2x11-7/8 M.L.</t>
  </si>
  <si>
    <t>4" Dia. Column (8'-0" High)</t>
  </si>
  <si>
    <t>Column:</t>
  </si>
  <si>
    <t>3-1/2x14 M.L.</t>
  </si>
  <si>
    <t>5-1/4x18 M.L.</t>
  </si>
  <si>
    <t>Interior Wall Framing Basement Floor:</t>
  </si>
  <si>
    <t>2x4x104-5/8" #2 DF</t>
  </si>
  <si>
    <t>2x4x92-5/8" #2 DF</t>
  </si>
  <si>
    <t>S1</t>
  </si>
  <si>
    <r>
      <t xml:space="preserve">Demolish Rat Slab 
</t>
    </r>
    <r>
      <rPr>
        <b/>
        <sz val="12"/>
        <rFont val="Calibri"/>
        <family val="2"/>
        <scheme val="minor"/>
      </rPr>
      <t>Location: Crawl Space</t>
    </r>
  </si>
  <si>
    <r>
      <t xml:space="preserve">Demolish Slab on Grade 
</t>
    </r>
    <r>
      <rPr>
        <b/>
        <sz val="12"/>
        <rFont val="Calibri"/>
        <family val="2"/>
        <scheme val="minor"/>
      </rPr>
      <t>Location: Basement</t>
    </r>
  </si>
  <si>
    <t>BULK EXCAVATION</t>
  </si>
  <si>
    <t>S2</t>
  </si>
  <si>
    <r>
      <t xml:space="preserve">Hand Dig Excavation
</t>
    </r>
    <r>
      <rPr>
        <b/>
        <sz val="12"/>
        <rFont val="Calibri"/>
        <family val="2"/>
        <scheme val="minor"/>
      </rPr>
      <t>Location: Crawl Space
Depth: 7'-0"</t>
    </r>
  </si>
  <si>
    <r>
      <t xml:space="preserve">Hand Dig Excavation
</t>
    </r>
    <r>
      <rPr>
        <b/>
        <sz val="12"/>
        <rFont val="Calibri"/>
        <family val="2"/>
        <scheme val="minor"/>
      </rPr>
      <t>Location: Basement
Depth: 2'-0"</t>
    </r>
  </si>
  <si>
    <t>UNDERPINNING</t>
  </si>
  <si>
    <t>Underpinning Footing
Section Length: 2'-4" 
Section Width: 1'-6"
Section Depth: 1'-0"</t>
  </si>
  <si>
    <t>Concrete (4000 Psi)</t>
  </si>
  <si>
    <t>(2) #4 Longitdunal Bars</t>
  </si>
  <si>
    <t>#4 Longitudnal Bars @ 24" O.C.</t>
  </si>
  <si>
    <t>Underpinning Wall
Section Length: 2'-4" 
Section Width: 1'-0"
Section Depth: 7'-4"</t>
  </si>
  <si>
    <t>(2) #4 Horizontal Bars @ Top, Mid and Bottom</t>
  </si>
  <si>
    <t>#4 Vertical Bars @ 16" O.C. Each Face</t>
  </si>
  <si>
    <t>LOC</t>
  </si>
  <si>
    <t>Underpinning Footing
Section Length: 3'-0" 
Section Width: 1'-6"
Section Depth: 1'-0"</t>
  </si>
  <si>
    <t>Underpinning Wall
Section Length: 3'-0" 
Section Width: 1'-0"
Section Depth: 7'-4"</t>
  </si>
  <si>
    <t>Underpinning Footing
Section Length: 3'-3" 
Section Width: 1'-6"
Section Depth: 1'-0"</t>
  </si>
  <si>
    <t>Underpinning Wall
Section Length: 3'-3" 
Section Width: 1'-0"
Section Depth: 7'-4"</t>
  </si>
  <si>
    <t>Underpinning Footing
Section Length: 4'-0" 
Section Width: 1'-6"
Section Depth: 1'-0"</t>
  </si>
  <si>
    <t>Underpinning Wall
Section Length: 4'-0" 
Section Width: 1'-0"
Section Depth: 7'-4"</t>
  </si>
  <si>
    <t>BASEMENT SLAB ON GRADE</t>
  </si>
  <si>
    <t>4" Thick Concrete (3000 Psi) Slab On Grade W/
- 6x6x-W1.4xW1.4 WWM</t>
  </si>
  <si>
    <t>10 Mil Vapor Barrier</t>
  </si>
  <si>
    <t xml:space="preserve">Aggregate Base 
- 4" Thick </t>
  </si>
  <si>
    <t>Control Joint</t>
  </si>
  <si>
    <t>Expansion Joint</t>
  </si>
  <si>
    <t>Misc. Blocking:</t>
  </si>
  <si>
    <t>2x6x16' #2 DF</t>
  </si>
  <si>
    <t>4x4x9' Post</t>
  </si>
  <si>
    <t>Basement Slab On Grade Sub Total</t>
  </si>
  <si>
    <t>Underpinning Sub Total</t>
  </si>
  <si>
    <t>Patch &amp; Repair Sub Total</t>
  </si>
  <si>
    <t>Remaning Typical Sections</t>
  </si>
  <si>
    <t>Allowance For Electrical Works (Light Fixtures, Switches, Receptacle)</t>
  </si>
  <si>
    <t>CONTINGENCY</t>
  </si>
  <si>
    <t>Bulk Excavation Sub Total</t>
  </si>
  <si>
    <r>
      <t>Allowance For Plumbing Works</t>
    </r>
    <r>
      <rPr>
        <b/>
        <i/>
        <sz val="12"/>
        <color rgb="FF002060"/>
        <rFont val="Calibri"/>
        <family val="2"/>
        <scheme val="minor"/>
      </rPr>
      <t xml:space="preserve">
Note: Fixtures provided for reference only</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</si>
</sst>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1" formatCode="_(* #,##0_);_(* \(#,##0\);_(* &quot;-&quot;_);_(@_)"/>
    <numFmt numFmtId="44" formatCode="_(&quot;$&quot;* #,##0.00_);_(&quot;$&quot;* \(#,##0.00\);_(&quot;$&quot;* &quot;-&quot;??_);_(@_)"/>
    <numFmt numFmtId="43" formatCode="_(* #,##0.00_);_(* \(#,##0.00\);_(* &quot;-&quot;??_);_(@_)"/>
    <numFmt numFmtId="164" formatCode="&quot;$&quot;#,##0"/>
    <numFmt numFmtId="165" formatCode="_(&quot;$&quot;* #,##0_);_(&quot;$&quot;* \(#,##0\);_(&quot;$&quot;* &quot;-&quot;??_);_(@_)"/>
    <numFmt numFmtId="166" formatCode="_(&quot;$&quot;* #,##0_);_(&quot;$&quot;* \(#,##0\);_(&quot;$&quot;* &quot;-&quot;?_);_(@_)"/>
    <numFmt numFmtId="167" formatCode="_(&quot;$&quot;* #,##0.00_);_(&quot;$&quot;* \(#,##0.00\);_(&quot;$&quot;* &quot;-&quot;?_);_(@_)"/>
    <numFmt numFmtId="168" formatCode="_(* #,##0_);_(* \(#,##0\);_(* &quot;-&quot;??_);_(@_)"/>
    <numFmt numFmtId="169" formatCode="0.000%"/>
    <numFmt numFmtId="170" formatCode="_(* #,##0.00_);_(* \(#,##0.00\);_(* &quot;-&quot;_);_(@_)"/>
    <numFmt numFmtId="171" formatCode="0.0"/>
    <numFmt numFmtId="172" formatCode="0\ &quot;CY&quot;"/>
  </numFmts>
  <fonts count="44" x14ac:knownFonts="1">
    <font>
      <sz val="12"/>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2"/>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12"/>
      <name val="Arial"/>
      <family val="2"/>
    </font>
    <font>
      <sz val="10"/>
      <name val="Arial"/>
      <family val="2"/>
    </font>
    <font>
      <sz val="12"/>
      <name val="Calibri"/>
      <family val="2"/>
      <scheme val="minor"/>
    </font>
    <font>
      <b/>
      <sz val="12"/>
      <name val="Calibri"/>
      <family val="2"/>
      <scheme val="minor"/>
    </font>
    <font>
      <b/>
      <sz val="12"/>
      <color theme="0"/>
      <name val="Calibri"/>
      <family val="2"/>
      <scheme val="minor"/>
    </font>
    <font>
      <u/>
      <sz val="12"/>
      <color theme="10"/>
      <name val="Arial"/>
      <family val="2"/>
    </font>
    <font>
      <sz val="12"/>
      <color theme="0"/>
      <name val="Calibri"/>
      <family val="2"/>
      <scheme val="minor"/>
    </font>
    <font>
      <sz val="12"/>
      <color theme="1"/>
      <name val="Calibri"/>
      <family val="2"/>
      <scheme val="minor"/>
    </font>
    <font>
      <u/>
      <sz val="12"/>
      <color theme="0"/>
      <name val="Arial"/>
      <family val="2"/>
    </font>
    <font>
      <sz val="12"/>
      <name val="Arial"/>
      <family val="2"/>
    </font>
    <font>
      <b/>
      <u/>
      <sz val="12"/>
      <name val="Calibri"/>
      <family val="2"/>
      <scheme val="minor"/>
    </font>
    <font>
      <b/>
      <sz val="12"/>
      <color rgb="FFFF0000"/>
      <name val="Calibri"/>
      <family val="2"/>
      <scheme val="minor"/>
    </font>
    <font>
      <b/>
      <i/>
      <sz val="12"/>
      <color rgb="FF002060"/>
      <name val="Calibri"/>
      <family val="2"/>
      <scheme val="minor"/>
    </font>
    <font>
      <sz val="14"/>
      <name val="Calibri"/>
      <family val="2"/>
      <scheme val="minor"/>
    </font>
    <font>
      <u/>
      <sz val="14"/>
      <color theme="0"/>
      <name val="Calibri"/>
      <family val="2"/>
      <scheme val="minor"/>
    </font>
    <font>
      <sz val="12"/>
      <color rgb="FFFF0000"/>
      <name val="Calibri"/>
      <family val="2"/>
      <scheme val="minor"/>
    </font>
    <font>
      <b/>
      <i/>
      <sz val="12"/>
      <color rgb="FFFF0000"/>
      <name val="Calibri"/>
      <family val="2"/>
      <scheme val="minor"/>
    </font>
    <font>
      <b/>
      <i/>
      <sz val="12"/>
      <name val="Calibri"/>
      <family val="2"/>
      <scheme val="minor"/>
    </font>
    <font>
      <b/>
      <sz val="12"/>
      <color theme="1"/>
      <name val="Calibri"/>
      <family val="2"/>
      <scheme val="minor"/>
    </font>
    <font>
      <sz val="12"/>
      <color rgb="FF002060"/>
      <name val="Calibri"/>
      <family val="2"/>
      <scheme val="minor"/>
    </font>
    <font>
      <u/>
      <sz val="12"/>
      <color theme="10"/>
      <name val="Calibri"/>
      <family val="2"/>
      <scheme val="minor"/>
    </font>
  </fonts>
  <fills count="28">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55"/>
      </patternFill>
    </fill>
    <fill>
      <patternFill patternType="solid">
        <fgColor indexed="43"/>
      </patternFill>
    </fill>
    <fill>
      <patternFill patternType="solid">
        <fgColor indexed="26"/>
      </patternFill>
    </fill>
    <fill>
      <patternFill patternType="solid">
        <fgColor theme="0"/>
        <bgColor indexed="64"/>
      </patternFill>
    </fill>
    <fill>
      <patternFill patternType="solid">
        <fgColor rgb="FFFED2DC"/>
        <bgColor indexed="64"/>
      </patternFill>
    </fill>
    <fill>
      <patternFill patternType="solid">
        <fgColor rgb="FFFFC000"/>
        <bgColor indexed="64"/>
      </patternFill>
    </fill>
    <fill>
      <patternFill patternType="solid">
        <fgColor rgb="FF92D050"/>
        <bgColor indexed="64"/>
      </patternFill>
    </fill>
  </fills>
  <borders count="3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s>
  <cellStyleXfs count="64">
    <xf numFmtId="0" fontId="0" fillId="0" borderId="0"/>
    <xf numFmtId="0" fontId="6" fillId="2" borderId="0" applyNumberFormat="0" applyBorder="0" applyAlignment="0" applyProtection="0"/>
    <xf numFmtId="0" fontId="6" fillId="3" borderId="0" applyNumberFormat="0" applyBorder="0" applyAlignment="0" applyProtection="0"/>
    <xf numFmtId="0" fontId="6" fillId="4" borderId="0" applyNumberFormat="0" applyBorder="0" applyAlignment="0" applyProtection="0"/>
    <xf numFmtId="0" fontId="6" fillId="5" borderId="0" applyNumberFormat="0" applyBorder="0" applyAlignment="0" applyProtection="0"/>
    <xf numFmtId="0" fontId="6" fillId="6" borderId="0" applyNumberFormat="0" applyBorder="0" applyAlignment="0" applyProtection="0"/>
    <xf numFmtId="0" fontId="6" fillId="7" borderId="0" applyNumberFormat="0" applyBorder="0" applyAlignment="0" applyProtection="0"/>
    <xf numFmtId="0" fontId="6" fillId="8" borderId="0" applyNumberFormat="0" applyBorder="0" applyAlignment="0" applyProtection="0"/>
    <xf numFmtId="0" fontId="6" fillId="9" borderId="0" applyNumberFormat="0" applyBorder="0" applyAlignment="0" applyProtection="0"/>
    <xf numFmtId="0" fontId="6" fillId="10" borderId="0" applyNumberFormat="0" applyBorder="0" applyAlignment="0" applyProtection="0"/>
    <xf numFmtId="0" fontId="6" fillId="5" borderId="0" applyNumberFormat="0" applyBorder="0" applyAlignment="0" applyProtection="0"/>
    <xf numFmtId="0" fontId="6" fillId="8" borderId="0" applyNumberFormat="0" applyBorder="0" applyAlignment="0" applyProtection="0"/>
    <xf numFmtId="0" fontId="6" fillId="11" borderId="0" applyNumberFormat="0" applyBorder="0" applyAlignment="0" applyProtection="0"/>
    <xf numFmtId="0" fontId="7" fillId="12"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7" fillId="18" borderId="0" applyNumberFormat="0" applyBorder="0" applyAlignment="0" applyProtection="0"/>
    <xf numFmtId="0" fontId="7" fillId="13" borderId="0" applyNumberFormat="0" applyBorder="0" applyAlignment="0" applyProtection="0"/>
    <xf numFmtId="0" fontId="7" fillId="14" borderId="0" applyNumberFormat="0" applyBorder="0" applyAlignment="0" applyProtection="0"/>
    <xf numFmtId="0" fontId="7" fillId="19" borderId="0" applyNumberFormat="0" applyBorder="0" applyAlignment="0" applyProtection="0"/>
    <xf numFmtId="0" fontId="8" fillId="3" borderId="0" applyNumberFormat="0" applyBorder="0" applyAlignment="0" applyProtection="0"/>
    <xf numFmtId="0" fontId="9" fillId="20" borderId="1" applyNumberFormat="0" applyAlignment="0" applyProtection="0"/>
    <xf numFmtId="0" fontId="10" fillId="21" borderId="2" applyNumberFormat="0" applyAlignment="0" applyProtection="0"/>
    <xf numFmtId="0" fontId="11" fillId="0" borderId="0" applyNumberFormat="0" applyFill="0" applyBorder="0" applyAlignment="0" applyProtection="0"/>
    <xf numFmtId="0" fontId="12" fillId="4" borderId="0" applyNumberFormat="0" applyBorder="0" applyAlignment="0" applyProtection="0"/>
    <xf numFmtId="0" fontId="13" fillId="0" borderId="3" applyNumberFormat="0" applyFill="0" applyAlignment="0" applyProtection="0"/>
    <xf numFmtId="0" fontId="14" fillId="0" borderId="4" applyNumberFormat="0" applyFill="0" applyAlignment="0" applyProtection="0"/>
    <xf numFmtId="0" fontId="15" fillId="0" borderId="5" applyNumberFormat="0" applyFill="0" applyAlignment="0" applyProtection="0"/>
    <xf numFmtId="0" fontId="15" fillId="0" borderId="0" applyNumberFormat="0" applyFill="0" applyBorder="0" applyAlignment="0" applyProtection="0"/>
    <xf numFmtId="0" fontId="16" fillId="7" borderId="1" applyNumberFormat="0" applyAlignment="0" applyProtection="0"/>
    <xf numFmtId="0" fontId="17" fillId="0" borderId="6" applyNumberFormat="0" applyFill="0" applyAlignment="0" applyProtection="0"/>
    <xf numFmtId="0" fontId="18" fillId="22" borderId="0" applyNumberFormat="0" applyBorder="0" applyAlignment="0" applyProtection="0"/>
    <xf numFmtId="0" fontId="5" fillId="0" borderId="0"/>
    <xf numFmtId="0" fontId="5" fillId="23" borderId="7" applyNumberFormat="0" applyFont="0" applyAlignment="0" applyProtection="0"/>
    <xf numFmtId="0" fontId="19" fillId="20" borderId="8" applyNumberFormat="0" applyAlignment="0" applyProtection="0"/>
    <xf numFmtId="0" fontId="20" fillId="0" borderId="0" applyNumberFormat="0" applyFill="0" applyBorder="0" applyAlignment="0" applyProtection="0"/>
    <xf numFmtId="0" fontId="21" fillId="0" borderId="9" applyNumberFormat="0" applyFill="0" applyAlignment="0" applyProtection="0"/>
    <xf numFmtId="0" fontId="22" fillId="0" borderId="0" applyNumberFormat="0" applyFill="0" applyBorder="0" applyAlignment="0" applyProtection="0"/>
    <xf numFmtId="0" fontId="4" fillId="0" borderId="0"/>
    <xf numFmtId="0" fontId="23" fillId="0" borderId="0"/>
    <xf numFmtId="0" fontId="5" fillId="0" borderId="0"/>
    <xf numFmtId="43" fontId="23" fillId="0" borderId="0" applyFont="0" applyFill="0" applyBorder="0" applyAlignment="0" applyProtection="0"/>
    <xf numFmtId="0" fontId="24" fillId="0" borderId="0"/>
    <xf numFmtId="43" fontId="5" fillId="0" borderId="0" applyFont="0" applyFill="0" applyBorder="0" applyAlignment="0" applyProtection="0"/>
    <xf numFmtId="0" fontId="5" fillId="0" borderId="0"/>
    <xf numFmtId="44" fontId="24" fillId="0" borderId="0" applyFont="0" applyFill="0" applyBorder="0" applyAlignment="0" applyProtection="0"/>
    <xf numFmtId="0" fontId="3" fillId="0" borderId="0"/>
    <xf numFmtId="0" fontId="5" fillId="0" borderId="0"/>
    <xf numFmtId="0" fontId="3" fillId="0" borderId="0"/>
    <xf numFmtId="0" fontId="28" fillId="0" borderId="0" applyNumberFormat="0" applyFill="0" applyBorder="0" applyAlignment="0" applyProtection="0"/>
    <xf numFmtId="44" fontId="5" fillId="0" borderId="0" applyFont="0" applyFill="0" applyBorder="0" applyAlignment="0" applyProtection="0"/>
    <xf numFmtId="44" fontId="32" fillId="0" borderId="0" applyFont="0" applyFill="0" applyBorder="0" applyAlignment="0" applyProtection="0"/>
    <xf numFmtId="9" fontId="32" fillId="0" borderId="0" applyFont="0" applyFill="0" applyBorder="0" applyAlignment="0" applyProtection="0"/>
    <xf numFmtId="9" fontId="5" fillId="0" borderId="0" applyFont="0" applyFill="0" applyBorder="0" applyAlignment="0" applyProtection="0"/>
    <xf numFmtId="0" fontId="5" fillId="0" borderId="0"/>
    <xf numFmtId="0" fontId="2" fillId="0" borderId="0"/>
    <xf numFmtId="9" fontId="2" fillId="0" borderId="0" applyFont="0" applyFill="0" applyBorder="0" applyAlignment="0" applyProtection="0"/>
    <xf numFmtId="0" fontId="1" fillId="0" borderId="0"/>
    <xf numFmtId="9" fontId="1" fillId="0" borderId="0" applyFont="0" applyFill="0" applyBorder="0" applyAlignment="0" applyProtection="0"/>
  </cellStyleXfs>
  <cellXfs count="220">
    <xf numFmtId="0" fontId="0" fillId="0" borderId="0" xfId="0"/>
    <xf numFmtId="0" fontId="25" fillId="0" borderId="0" xfId="0" applyFont="1" applyAlignment="1">
      <alignment vertical="top"/>
    </xf>
    <xf numFmtId="0" fontId="25" fillId="0" borderId="11" xfId="0" applyFont="1" applyBorder="1" applyAlignment="1">
      <alignment vertical="top"/>
    </xf>
    <xf numFmtId="0" fontId="25" fillId="0" borderId="12" xfId="0" applyFont="1" applyBorder="1" applyAlignment="1">
      <alignment horizontal="center" vertical="top"/>
    </xf>
    <xf numFmtId="0" fontId="25" fillId="0" borderId="0" xfId="0" applyFont="1" applyAlignment="1">
      <alignment horizontal="center" vertical="top"/>
    </xf>
    <xf numFmtId="2" fontId="25" fillId="0" borderId="0" xfId="0" applyNumberFormat="1" applyFont="1" applyAlignment="1">
      <alignment horizontal="center" vertical="top" wrapText="1"/>
    </xf>
    <xf numFmtId="164" fontId="25" fillId="0" borderId="0" xfId="0" applyNumberFormat="1" applyFont="1" applyAlignment="1">
      <alignment vertical="top"/>
    </xf>
    <xf numFmtId="0" fontId="30" fillId="25" borderId="0" xfId="0" applyFont="1" applyFill="1" applyAlignment="1">
      <alignment vertical="top"/>
    </xf>
    <xf numFmtId="2" fontId="25" fillId="0" borderId="0" xfId="0" applyNumberFormat="1" applyFont="1" applyAlignment="1">
      <alignment horizontal="left" vertical="top" wrapText="1"/>
    </xf>
    <xf numFmtId="0" fontId="25" fillId="24" borderId="0" xfId="0" applyFont="1" applyFill="1" applyAlignment="1">
      <alignment vertical="top"/>
    </xf>
    <xf numFmtId="1" fontId="25" fillId="0" borderId="0" xfId="0" applyNumberFormat="1" applyFont="1" applyAlignment="1">
      <alignment horizontal="center" vertical="top" wrapText="1"/>
    </xf>
    <xf numFmtId="0" fontId="25" fillId="0" borderId="0" xfId="0" applyFont="1" applyAlignment="1">
      <alignment horizontal="center" vertical="top" wrapText="1"/>
    </xf>
    <xf numFmtId="165" fontId="26" fillId="0" borderId="23" xfId="55" applyNumberFormat="1" applyFont="1" applyFill="1" applyBorder="1" applyAlignment="1">
      <alignment horizontal="center" vertical="top"/>
    </xf>
    <xf numFmtId="44" fontId="25" fillId="0" borderId="0" xfId="56" applyFont="1" applyBorder="1" applyAlignment="1">
      <alignment horizontal="center" vertical="top"/>
    </xf>
    <xf numFmtId="0" fontId="30" fillId="25" borderId="0" xfId="45" applyFont="1" applyFill="1" applyAlignment="1">
      <alignment vertical="top"/>
    </xf>
    <xf numFmtId="0" fontId="37" fillId="0" borderId="0" xfId="45" applyFont="1" applyAlignment="1">
      <alignment vertical="top"/>
    </xf>
    <xf numFmtId="0" fontId="37" fillId="24" borderId="0" xfId="45" applyFont="1" applyFill="1" applyAlignment="1">
      <alignment vertical="top"/>
    </xf>
    <xf numFmtId="2" fontId="26" fillId="24" borderId="11" xfId="45" applyNumberFormat="1" applyFont="1" applyFill="1" applyBorder="1" applyAlignment="1">
      <alignment horizontal="left" vertical="top"/>
    </xf>
    <xf numFmtId="0" fontId="25" fillId="0" borderId="0" xfId="45" applyFont="1" applyAlignment="1">
      <alignment vertical="top"/>
    </xf>
    <xf numFmtId="14" fontId="35" fillId="24" borderId="18" xfId="45" applyNumberFormat="1" applyFont="1" applyFill="1" applyBorder="1" applyAlignment="1">
      <alignment horizontal="left" vertical="top"/>
    </xf>
    <xf numFmtId="2" fontId="26" fillId="24" borderId="14" xfId="45" applyNumberFormat="1" applyFont="1" applyFill="1" applyBorder="1" applyAlignment="1">
      <alignment horizontal="left" vertical="top"/>
    </xf>
    <xf numFmtId="44" fontId="25" fillId="0" borderId="10" xfId="55" applyFont="1" applyFill="1" applyBorder="1" applyAlignment="1">
      <alignment horizontal="center" vertical="top"/>
    </xf>
    <xf numFmtId="0" fontId="25" fillId="24" borderId="0" xfId="45" applyFont="1" applyFill="1" applyAlignment="1">
      <alignment vertical="top"/>
    </xf>
    <xf numFmtId="0" fontId="26" fillId="24" borderId="11" xfId="0" applyFont="1" applyFill="1" applyBorder="1" applyAlignment="1">
      <alignment horizontal="left" vertical="top"/>
    </xf>
    <xf numFmtId="44" fontId="26" fillId="24" borderId="11" xfId="0" applyNumberFormat="1" applyFont="1" applyFill="1" applyBorder="1" applyAlignment="1">
      <alignment horizontal="left" vertical="top"/>
    </xf>
    <xf numFmtId="165" fontId="26" fillId="24" borderId="14" xfId="55" applyNumberFormat="1" applyFont="1" applyFill="1" applyBorder="1" applyAlignment="1" applyProtection="1">
      <alignment horizontal="left" vertical="top"/>
    </xf>
    <xf numFmtId="44" fontId="26" fillId="24" borderId="14" xfId="0" applyNumberFormat="1" applyFont="1" applyFill="1" applyBorder="1" applyAlignment="1">
      <alignment horizontal="left" vertical="top"/>
    </xf>
    <xf numFmtId="9" fontId="41" fillId="26" borderId="17" xfId="58" applyFont="1" applyFill="1" applyBorder="1" applyAlignment="1">
      <alignment horizontal="center" vertical="top"/>
    </xf>
    <xf numFmtId="0" fontId="38" fillId="0" borderId="13" xfId="0" applyFont="1" applyBorder="1" applyAlignment="1">
      <alignment horizontal="left" vertical="top"/>
    </xf>
    <xf numFmtId="0" fontId="25" fillId="0" borderId="14" xfId="0" applyFont="1" applyBorder="1" applyAlignment="1">
      <alignment horizontal="center" vertical="top" wrapText="1"/>
    </xf>
    <xf numFmtId="0" fontId="25" fillId="0" borderId="14" xfId="0" applyFont="1" applyBorder="1" applyAlignment="1">
      <alignment horizontal="center" vertical="top"/>
    </xf>
    <xf numFmtId="2" fontId="25" fillId="0" borderId="14" xfId="0" applyNumberFormat="1" applyFont="1" applyBorder="1" applyAlignment="1">
      <alignment horizontal="left" vertical="top" wrapText="1"/>
    </xf>
    <xf numFmtId="1" fontId="25" fillId="0" borderId="14" xfId="0" applyNumberFormat="1" applyFont="1" applyBorder="1" applyAlignment="1">
      <alignment horizontal="center" vertical="top" wrapText="1"/>
    </xf>
    <xf numFmtId="2" fontId="25" fillId="0" borderId="14" xfId="0" applyNumberFormat="1" applyFont="1" applyBorder="1" applyAlignment="1">
      <alignment horizontal="center" vertical="top" wrapText="1"/>
    </xf>
    <xf numFmtId="44" fontId="25" fillId="0" borderId="14" xfId="56" applyFont="1" applyBorder="1" applyAlignment="1">
      <alignment horizontal="center" vertical="top"/>
    </xf>
    <xf numFmtId="164" fontId="25" fillId="0" borderId="14" xfId="0" applyNumberFormat="1" applyFont="1" applyBorder="1" applyAlignment="1">
      <alignment vertical="top"/>
    </xf>
    <xf numFmtId="0" fontId="25" fillId="24" borderId="19" xfId="0" applyFont="1" applyFill="1" applyBorder="1" applyAlignment="1">
      <alignment vertical="top"/>
    </xf>
    <xf numFmtId="2" fontId="26" fillId="24" borderId="26" xfId="0" applyNumberFormat="1" applyFont="1" applyFill="1" applyBorder="1" applyAlignment="1">
      <alignment horizontal="left" vertical="top"/>
    </xf>
    <xf numFmtId="0" fontId="25" fillId="24" borderId="27" xfId="0" applyFont="1" applyFill="1" applyBorder="1" applyAlignment="1">
      <alignment horizontal="center" vertical="top" wrapText="1"/>
    </xf>
    <xf numFmtId="0" fontId="26" fillId="24" borderId="26" xfId="0" applyFont="1" applyFill="1" applyBorder="1" applyAlignment="1">
      <alignment horizontal="left" vertical="top"/>
    </xf>
    <xf numFmtId="2" fontId="26" fillId="24" borderId="11" xfId="0" applyNumberFormat="1" applyFont="1" applyFill="1" applyBorder="1" applyAlignment="1">
      <alignment vertical="top"/>
    </xf>
    <xf numFmtId="2" fontId="26" fillId="24" borderId="11" xfId="45" applyNumberFormat="1" applyFont="1" applyFill="1" applyBorder="1" applyAlignment="1">
      <alignment vertical="top"/>
    </xf>
    <xf numFmtId="2" fontId="26" fillId="24" borderId="27" xfId="45" applyNumberFormat="1" applyFont="1" applyFill="1" applyBorder="1" applyAlignment="1">
      <alignment vertical="top"/>
    </xf>
    <xf numFmtId="0" fontId="25" fillId="24" borderId="12" xfId="0" applyFont="1" applyFill="1" applyBorder="1" applyAlignment="1">
      <alignment horizontal="left" vertical="top"/>
    </xf>
    <xf numFmtId="0" fontId="25" fillId="24" borderId="18" xfId="0" applyFont="1" applyFill="1" applyBorder="1" applyAlignment="1">
      <alignment horizontal="center" vertical="top" wrapText="1"/>
    </xf>
    <xf numFmtId="14" fontId="25" fillId="24" borderId="12" xfId="0" applyNumberFormat="1" applyFont="1" applyFill="1" applyBorder="1" applyAlignment="1">
      <alignment horizontal="left" vertical="top"/>
    </xf>
    <xf numFmtId="0" fontId="26" fillId="24" borderId="13" xfId="0" applyFont="1" applyFill="1" applyBorder="1" applyAlignment="1">
      <alignment horizontal="left" vertical="top"/>
    </xf>
    <xf numFmtId="0" fontId="25" fillId="24" borderId="19" xfId="0" applyFont="1" applyFill="1" applyBorder="1" applyAlignment="1">
      <alignment horizontal="center" vertical="top" wrapText="1"/>
    </xf>
    <xf numFmtId="165" fontId="26" fillId="24" borderId="13" xfId="55" applyNumberFormat="1" applyFont="1" applyFill="1" applyBorder="1" applyAlignment="1" applyProtection="1">
      <alignment horizontal="left" vertical="top"/>
    </xf>
    <xf numFmtId="2" fontId="43" fillId="24" borderId="14" xfId="54" applyNumberFormat="1" applyFont="1" applyFill="1" applyBorder="1" applyAlignment="1">
      <alignment horizontal="center" vertical="top"/>
    </xf>
    <xf numFmtId="2" fontId="43" fillId="24" borderId="19" xfId="54" applyNumberFormat="1" applyFont="1" applyFill="1" applyBorder="1" applyAlignment="1">
      <alignment horizontal="center" vertical="top"/>
    </xf>
    <xf numFmtId="0" fontId="34" fillId="0" borderId="26" xfId="0" applyFont="1" applyBorder="1" applyAlignment="1">
      <alignment horizontal="left" vertical="top"/>
    </xf>
    <xf numFmtId="0" fontId="25" fillId="0" borderId="11" xfId="0" applyFont="1" applyBorder="1" applyAlignment="1">
      <alignment horizontal="center" vertical="top" wrapText="1"/>
    </xf>
    <xf numFmtId="0" fontId="25" fillId="0" borderId="11" xfId="0" applyFont="1" applyBorder="1" applyAlignment="1">
      <alignment horizontal="center" vertical="top"/>
    </xf>
    <xf numFmtId="2" fontId="25" fillId="0" borderId="11" xfId="0" applyNumberFormat="1" applyFont="1" applyBorder="1" applyAlignment="1">
      <alignment horizontal="left" vertical="top" wrapText="1"/>
    </xf>
    <xf numFmtId="1" fontId="25" fillId="0" borderId="11" xfId="0" applyNumberFormat="1" applyFont="1" applyBorder="1" applyAlignment="1">
      <alignment horizontal="center" vertical="top" wrapText="1"/>
    </xf>
    <xf numFmtId="2" fontId="25" fillId="0" borderId="11" xfId="0" applyNumberFormat="1" applyFont="1" applyBorder="1" applyAlignment="1">
      <alignment horizontal="center" vertical="top" wrapText="1"/>
    </xf>
    <xf numFmtId="44" fontId="25" fillId="0" borderId="11" xfId="56" applyFont="1" applyBorder="1" applyAlignment="1">
      <alignment horizontal="center" vertical="top"/>
    </xf>
    <xf numFmtId="164" fontId="25" fillId="0" borderId="11" xfId="0" applyNumberFormat="1" applyFont="1" applyBorder="1" applyAlignment="1">
      <alignment vertical="top"/>
    </xf>
    <xf numFmtId="0" fontId="25" fillId="24" borderId="27" xfId="0" applyFont="1" applyFill="1" applyBorder="1" applyAlignment="1">
      <alignment vertical="top"/>
    </xf>
    <xf numFmtId="2" fontId="27" fillId="27" borderId="21" xfId="0" applyNumberFormat="1" applyFont="1" applyFill="1" applyBorder="1" applyAlignment="1">
      <alignment horizontal="left" vertical="top"/>
    </xf>
    <xf numFmtId="2" fontId="27" fillId="27" borderId="16" xfId="0" applyNumberFormat="1" applyFont="1" applyFill="1" applyBorder="1" applyAlignment="1">
      <alignment horizontal="left" vertical="top" wrapText="1"/>
    </xf>
    <xf numFmtId="2" fontId="27" fillId="27" borderId="16" xfId="0" applyNumberFormat="1" applyFont="1" applyFill="1" applyBorder="1" applyAlignment="1">
      <alignment horizontal="left" vertical="top"/>
    </xf>
    <xf numFmtId="2" fontId="27" fillId="27" borderId="16" xfId="0" applyNumberFormat="1" applyFont="1" applyFill="1" applyBorder="1" applyAlignment="1">
      <alignment horizontal="center" vertical="top"/>
    </xf>
    <xf numFmtId="2" fontId="29" fillId="27" borderId="16" xfId="0" applyNumberFormat="1" applyFont="1" applyFill="1" applyBorder="1" applyAlignment="1">
      <alignment horizontal="center" vertical="top"/>
    </xf>
    <xf numFmtId="44" fontId="29" fillId="27" borderId="16" xfId="56" applyFont="1" applyFill="1" applyBorder="1" applyAlignment="1">
      <alignment horizontal="center" vertical="top"/>
    </xf>
    <xf numFmtId="2" fontId="27" fillId="27" borderId="22" xfId="0" applyNumberFormat="1" applyFont="1" applyFill="1" applyBorder="1" applyAlignment="1">
      <alignment horizontal="right" vertical="top"/>
    </xf>
    <xf numFmtId="0" fontId="29" fillId="27" borderId="0" xfId="0" applyFont="1" applyFill="1" applyAlignment="1">
      <alignment horizontal="center" vertical="top" wrapText="1"/>
    </xf>
    <xf numFmtId="0" fontId="25" fillId="27" borderId="0" xfId="0" applyFont="1" applyFill="1" applyAlignment="1">
      <alignment vertical="top"/>
    </xf>
    <xf numFmtId="1" fontId="27" fillId="27" borderId="13" xfId="0" applyNumberFormat="1" applyFont="1" applyFill="1" applyBorder="1" applyAlignment="1">
      <alignment horizontal="left" vertical="top"/>
    </xf>
    <xf numFmtId="0" fontId="29" fillId="27" borderId="14" xfId="0" applyFont="1" applyFill="1" applyBorder="1" applyAlignment="1">
      <alignment horizontal="center" vertical="top" wrapText="1"/>
    </xf>
    <xf numFmtId="0" fontId="29" fillId="27" borderId="14" xfId="0" applyFont="1" applyFill="1" applyBorder="1" applyAlignment="1">
      <alignment horizontal="center" vertical="top"/>
    </xf>
    <xf numFmtId="2" fontId="29" fillId="27" borderId="14" xfId="0" applyNumberFormat="1" applyFont="1" applyFill="1" applyBorder="1" applyAlignment="1">
      <alignment horizontal="left" vertical="top" wrapText="1"/>
    </xf>
    <xf numFmtId="1" fontId="29" fillId="27" borderId="14" xfId="0" applyNumberFormat="1" applyFont="1" applyFill="1" applyBorder="1" applyAlignment="1">
      <alignment horizontal="center" vertical="top"/>
    </xf>
    <xf numFmtId="2" fontId="29" fillId="27" borderId="14" xfId="0" applyNumberFormat="1" applyFont="1" applyFill="1" applyBorder="1" applyAlignment="1">
      <alignment horizontal="center" vertical="top" wrapText="1"/>
    </xf>
    <xf numFmtId="2" fontId="31" fillId="27" borderId="14" xfId="54" applyNumberFormat="1" applyFont="1" applyFill="1" applyBorder="1" applyAlignment="1">
      <alignment horizontal="left" vertical="top"/>
    </xf>
    <xf numFmtId="44" fontId="29" fillId="27" borderId="14" xfId="56" applyFont="1" applyFill="1" applyBorder="1" applyAlignment="1">
      <alignment horizontal="center" vertical="top"/>
    </xf>
    <xf numFmtId="165" fontId="27" fillId="27" borderId="14" xfId="0" applyNumberFormat="1" applyFont="1" applyFill="1" applyBorder="1" applyAlignment="1">
      <alignment horizontal="left" vertical="top"/>
    </xf>
    <xf numFmtId="165" fontId="27" fillId="27" borderId="19" xfId="0" applyNumberFormat="1" applyFont="1" applyFill="1" applyBorder="1" applyAlignment="1">
      <alignment horizontal="left" vertical="top"/>
    </xf>
    <xf numFmtId="1" fontId="41" fillId="26" borderId="21" xfId="0" applyNumberFormat="1" applyFont="1" applyFill="1" applyBorder="1" applyAlignment="1">
      <alignment horizontal="left" vertical="top"/>
    </xf>
    <xf numFmtId="1" fontId="41" fillId="26" borderId="16" xfId="0" applyNumberFormat="1" applyFont="1" applyFill="1" applyBorder="1" applyAlignment="1">
      <alignment horizontal="left" vertical="top" wrapText="1"/>
    </xf>
    <xf numFmtId="1" fontId="41" fillId="26" borderId="16" xfId="0" applyNumberFormat="1" applyFont="1" applyFill="1" applyBorder="1" applyAlignment="1">
      <alignment horizontal="left" vertical="top"/>
    </xf>
    <xf numFmtId="0" fontId="30" fillId="26" borderId="16" xfId="0" applyFont="1" applyFill="1" applyBorder="1" applyAlignment="1">
      <alignment horizontal="left" vertical="top" wrapText="1"/>
    </xf>
    <xf numFmtId="1" fontId="30" fillId="26" borderId="16" xfId="0" applyNumberFormat="1" applyFont="1" applyFill="1" applyBorder="1" applyAlignment="1">
      <alignment horizontal="center" vertical="top"/>
    </xf>
    <xf numFmtId="41" fontId="30" fillId="26" borderId="16" xfId="0" applyNumberFormat="1" applyFont="1" applyFill="1" applyBorder="1" applyAlignment="1">
      <alignment horizontal="right" vertical="top"/>
    </xf>
    <xf numFmtId="0" fontId="30" fillId="26" borderId="16" xfId="0" applyFont="1" applyFill="1" applyBorder="1" applyAlignment="1">
      <alignment horizontal="center" vertical="top"/>
    </xf>
    <xf numFmtId="165" fontId="41" fillId="26" borderId="16" xfId="0" applyNumberFormat="1" applyFont="1" applyFill="1" applyBorder="1" applyAlignment="1">
      <alignment horizontal="left" vertical="top"/>
    </xf>
    <xf numFmtId="166" fontId="41" fillId="26" borderId="22" xfId="0" applyNumberFormat="1" applyFont="1" applyFill="1" applyBorder="1" applyAlignment="1">
      <alignment horizontal="center" vertical="top"/>
    </xf>
    <xf numFmtId="0" fontId="25" fillId="26" borderId="0" xfId="0" applyFont="1" applyFill="1" applyAlignment="1">
      <alignment vertical="top"/>
    </xf>
    <xf numFmtId="165" fontId="41" fillId="26" borderId="22" xfId="0" applyNumberFormat="1" applyFont="1" applyFill="1" applyBorder="1" applyAlignment="1">
      <alignment horizontal="center" vertical="top"/>
    </xf>
    <xf numFmtId="0" fontId="25" fillId="24" borderId="11" xfId="0" applyFont="1" applyFill="1" applyBorder="1" applyAlignment="1">
      <alignment vertical="top"/>
    </xf>
    <xf numFmtId="0" fontId="29" fillId="24" borderId="0" xfId="0" applyFont="1" applyFill="1" applyAlignment="1">
      <alignment horizontal="center" vertical="top" wrapText="1"/>
    </xf>
    <xf numFmtId="0" fontId="30" fillId="24" borderId="0" xfId="45" applyFont="1" applyFill="1" applyAlignment="1">
      <alignment vertical="top"/>
    </xf>
    <xf numFmtId="0" fontId="30" fillId="24" borderId="0" xfId="0" applyFont="1" applyFill="1" applyAlignment="1">
      <alignment vertical="top"/>
    </xf>
    <xf numFmtId="43" fontId="37" fillId="24" borderId="0" xfId="45" applyNumberFormat="1" applyFont="1" applyFill="1" applyAlignment="1">
      <alignment vertical="top"/>
    </xf>
    <xf numFmtId="165" fontId="25" fillId="24" borderId="0" xfId="56" applyNumberFormat="1" applyFont="1" applyFill="1" applyBorder="1" applyAlignment="1">
      <alignment vertical="top"/>
    </xf>
    <xf numFmtId="9" fontId="25" fillId="0" borderId="10" xfId="58" applyFont="1" applyFill="1" applyBorder="1" applyAlignment="1" applyProtection="1">
      <alignment horizontal="center" vertical="top"/>
    </xf>
    <xf numFmtId="165" fontId="25" fillId="0" borderId="10" xfId="55" applyNumberFormat="1" applyFont="1" applyFill="1" applyBorder="1" applyAlignment="1">
      <alignment horizontal="center" vertical="top"/>
    </xf>
    <xf numFmtId="9" fontId="25" fillId="0" borderId="10" xfId="57" applyFont="1" applyFill="1" applyBorder="1" applyAlignment="1" applyProtection="1">
      <alignment horizontal="center" vertical="top"/>
    </xf>
    <xf numFmtId="14" fontId="25" fillId="24" borderId="0" xfId="0" applyNumberFormat="1" applyFont="1" applyFill="1" applyAlignment="1">
      <alignment horizontal="left" vertical="top"/>
    </xf>
    <xf numFmtId="2" fontId="26" fillId="24" borderId="0" xfId="0" applyNumberFormat="1" applyFont="1" applyFill="1" applyAlignment="1">
      <alignment vertical="top"/>
    </xf>
    <xf numFmtId="44" fontId="26" fillId="24" borderId="0" xfId="0" applyNumberFormat="1" applyFont="1" applyFill="1" applyAlignment="1">
      <alignment horizontal="left" vertical="top"/>
    </xf>
    <xf numFmtId="2" fontId="35" fillId="24" borderId="0" xfId="0" applyNumberFormat="1" applyFont="1" applyFill="1" applyAlignment="1">
      <alignment vertical="top"/>
    </xf>
    <xf numFmtId="2" fontId="25" fillId="24" borderId="0" xfId="0" applyNumberFormat="1" applyFont="1" applyFill="1" applyAlignment="1">
      <alignment horizontal="center" vertical="top"/>
    </xf>
    <xf numFmtId="2" fontId="26" fillId="24" borderId="0" xfId="45" applyNumberFormat="1" applyFont="1" applyFill="1" applyAlignment="1">
      <alignment horizontal="left" vertical="top"/>
    </xf>
    <xf numFmtId="2" fontId="26" fillId="24" borderId="14" xfId="0" applyNumberFormat="1" applyFont="1" applyFill="1" applyBorder="1" applyAlignment="1">
      <alignment vertical="top"/>
    </xf>
    <xf numFmtId="2" fontId="35" fillId="24" borderId="14" xfId="0" applyNumberFormat="1" applyFont="1" applyFill="1" applyBorder="1" applyAlignment="1">
      <alignment vertical="top"/>
    </xf>
    <xf numFmtId="2" fontId="25" fillId="24" borderId="14" xfId="0" applyNumberFormat="1" applyFont="1" applyFill="1" applyBorder="1" applyAlignment="1">
      <alignment horizontal="center" vertical="top"/>
    </xf>
    <xf numFmtId="0" fontId="27" fillId="27" borderId="26" xfId="0" applyFont="1" applyFill="1" applyBorder="1" applyAlignment="1">
      <alignment horizontal="center" vertical="top" wrapText="1"/>
    </xf>
    <xf numFmtId="1" fontId="27" fillId="27" borderId="11" xfId="0" applyNumberFormat="1" applyFont="1" applyFill="1" applyBorder="1" applyAlignment="1">
      <alignment horizontal="center" vertical="top" wrapText="1"/>
    </xf>
    <xf numFmtId="0" fontId="27" fillId="27" borderId="11" xfId="0" applyFont="1" applyFill="1" applyBorder="1" applyAlignment="1">
      <alignment horizontal="center" vertical="top" wrapText="1"/>
    </xf>
    <xf numFmtId="164" fontId="27" fillId="27" borderId="27" xfId="0" applyNumberFormat="1" applyFont="1" applyFill="1" applyBorder="1" applyAlignment="1">
      <alignment horizontal="center" vertical="top" wrapText="1"/>
    </xf>
    <xf numFmtId="1" fontId="27" fillId="27" borderId="12" xfId="0" applyNumberFormat="1" applyFont="1" applyFill="1" applyBorder="1" applyAlignment="1">
      <alignment horizontal="left" vertical="top"/>
    </xf>
    <xf numFmtId="1" fontId="27" fillId="27" borderId="0" xfId="0" applyNumberFormat="1" applyFont="1" applyFill="1" applyAlignment="1">
      <alignment horizontal="left" vertical="top" wrapText="1"/>
    </xf>
    <xf numFmtId="1" fontId="27" fillId="27" borderId="0" xfId="0" applyNumberFormat="1" applyFont="1" applyFill="1" applyAlignment="1">
      <alignment horizontal="left" vertical="top"/>
    </xf>
    <xf numFmtId="0" fontId="29" fillId="27" borderId="0" xfId="0" applyFont="1" applyFill="1" applyAlignment="1">
      <alignment horizontal="left" vertical="top" wrapText="1"/>
    </xf>
    <xf numFmtId="1" fontId="29" fillId="27" borderId="0" xfId="0" applyNumberFormat="1" applyFont="1" applyFill="1" applyAlignment="1">
      <alignment horizontal="center" vertical="top"/>
    </xf>
    <xf numFmtId="41" fontId="29" fillId="27" borderId="0" xfId="0" applyNumberFormat="1" applyFont="1" applyFill="1" applyAlignment="1">
      <alignment horizontal="right" vertical="top"/>
    </xf>
    <xf numFmtId="0" fontId="29" fillId="27" borderId="0" xfId="0" applyFont="1" applyFill="1" applyAlignment="1">
      <alignment horizontal="center" vertical="top"/>
    </xf>
    <xf numFmtId="44" fontId="29" fillId="27" borderId="0" xfId="56" applyFont="1" applyFill="1" applyBorder="1" applyAlignment="1">
      <alignment horizontal="center" vertical="top"/>
    </xf>
    <xf numFmtId="165" fontId="27" fillId="27" borderId="0" xfId="0" applyNumberFormat="1" applyFont="1" applyFill="1" applyAlignment="1">
      <alignment horizontal="left" vertical="top"/>
    </xf>
    <xf numFmtId="166" fontId="27" fillId="27" borderId="18" xfId="0" applyNumberFormat="1" applyFont="1" applyFill="1" applyBorder="1" applyAlignment="1">
      <alignment horizontal="center" vertical="top"/>
    </xf>
    <xf numFmtId="44" fontId="25" fillId="0" borderId="10" xfId="55" applyFont="1" applyFill="1" applyBorder="1" applyAlignment="1">
      <alignment vertical="top"/>
    </xf>
    <xf numFmtId="165" fontId="26" fillId="0" borderId="10" xfId="55" applyNumberFormat="1" applyFont="1" applyFill="1" applyBorder="1" applyAlignment="1">
      <alignment horizontal="center" vertical="top"/>
    </xf>
    <xf numFmtId="165" fontId="25" fillId="0" borderId="10" xfId="56" applyNumberFormat="1" applyFont="1" applyFill="1" applyBorder="1" applyAlignment="1">
      <alignment horizontal="center" vertical="top"/>
    </xf>
    <xf numFmtId="44" fontId="25" fillId="0" borderId="10" xfId="55" applyFont="1" applyFill="1" applyBorder="1" applyAlignment="1" applyProtection="1">
      <alignment horizontal="center" vertical="top"/>
    </xf>
    <xf numFmtId="44" fontId="25" fillId="0" borderId="10" xfId="56" applyFont="1" applyFill="1" applyBorder="1" applyAlignment="1">
      <alignment horizontal="center" vertical="top"/>
    </xf>
    <xf numFmtId="44" fontId="25" fillId="0" borderId="28" xfId="55" applyFont="1" applyFill="1" applyBorder="1" applyAlignment="1">
      <alignment vertical="top"/>
    </xf>
    <xf numFmtId="0" fontId="25" fillId="0" borderId="24" xfId="45" applyFont="1" applyBorder="1" applyAlignment="1">
      <alignment horizontal="center" vertical="top"/>
    </xf>
    <xf numFmtId="0" fontId="25" fillId="0" borderId="28" xfId="45" applyFont="1" applyBorder="1" applyAlignment="1">
      <alignment horizontal="center" vertical="top" wrapText="1"/>
    </xf>
    <xf numFmtId="0" fontId="26" fillId="0" borderId="28" xfId="45" applyFont="1" applyBorder="1" applyAlignment="1">
      <alignment vertical="top"/>
    </xf>
    <xf numFmtId="0" fontId="26" fillId="0" borderId="28" xfId="45" applyFont="1" applyBorder="1" applyAlignment="1">
      <alignment horizontal="center" vertical="center"/>
    </xf>
    <xf numFmtId="0" fontId="26" fillId="0" borderId="28" xfId="45" applyFont="1" applyBorder="1" applyAlignment="1">
      <alignment horizontal="left" vertical="top"/>
    </xf>
    <xf numFmtId="1" fontId="25" fillId="0" borderId="28" xfId="45" applyNumberFormat="1" applyFont="1" applyBorder="1" applyAlignment="1">
      <alignment horizontal="center" vertical="top"/>
    </xf>
    <xf numFmtId="0" fontId="25" fillId="0" borderId="28" xfId="45" applyFont="1" applyBorder="1" applyAlignment="1">
      <alignment vertical="top"/>
    </xf>
    <xf numFmtId="166" fontId="26" fillId="0" borderId="30" xfId="45" applyNumberFormat="1" applyFont="1" applyBorder="1" applyAlignment="1">
      <alignment horizontal="center" vertical="top"/>
    </xf>
    <xf numFmtId="0" fontId="25" fillId="0" borderId="20" xfId="45" applyFont="1" applyBorder="1" applyAlignment="1">
      <alignment horizontal="center" vertical="top"/>
    </xf>
    <xf numFmtId="0" fontId="25" fillId="0" borderId="10" xfId="45" applyFont="1" applyBorder="1" applyAlignment="1">
      <alignment horizontal="center" vertical="top" wrapText="1"/>
    </xf>
    <xf numFmtId="1" fontId="36" fillId="0" borderId="10" xfId="45" applyNumberFormat="1" applyFont="1" applyBorder="1" applyAlignment="1">
      <alignment horizontal="right" vertical="top"/>
    </xf>
    <xf numFmtId="2" fontId="25" fillId="0" borderId="10" xfId="45" applyNumberFormat="1" applyFont="1" applyBorder="1" applyAlignment="1">
      <alignment horizontal="left" vertical="top" wrapText="1"/>
    </xf>
    <xf numFmtId="1" fontId="25" fillId="0" borderId="10" xfId="45" applyNumberFormat="1" applyFont="1" applyBorder="1" applyAlignment="1">
      <alignment horizontal="center" vertical="top"/>
    </xf>
    <xf numFmtId="41" fontId="25" fillId="0" borderId="10" xfId="45" applyNumberFormat="1" applyFont="1" applyBorder="1" applyAlignment="1">
      <alignment horizontal="center" vertical="top"/>
    </xf>
    <xf numFmtId="0" fontId="25" fillId="0" borderId="10" xfId="45" applyFont="1" applyBorder="1" applyAlignment="1">
      <alignment horizontal="center" vertical="top"/>
    </xf>
    <xf numFmtId="166" fontId="25" fillId="0" borderId="10" xfId="45" applyNumberFormat="1" applyFont="1" applyBorder="1" applyAlignment="1">
      <alignment horizontal="center" vertical="top"/>
    </xf>
    <xf numFmtId="44" fontId="37" fillId="0" borderId="23" xfId="45" applyNumberFormat="1" applyFont="1" applyBorder="1" applyAlignment="1">
      <alignment vertical="top"/>
    </xf>
    <xf numFmtId="0" fontId="25" fillId="0" borderId="10" xfId="0" applyFont="1" applyBorder="1" applyAlignment="1">
      <alignment horizontal="center" vertical="top" wrapText="1"/>
    </xf>
    <xf numFmtId="1" fontId="25" fillId="0" borderId="10" xfId="0" applyNumberFormat="1" applyFont="1" applyBorder="1" applyAlignment="1">
      <alignment horizontal="right" vertical="top"/>
    </xf>
    <xf numFmtId="2" fontId="26" fillId="0" borderId="10" xfId="0" applyNumberFormat="1" applyFont="1" applyBorder="1" applyAlignment="1">
      <alignment horizontal="right" vertical="top" wrapText="1"/>
    </xf>
    <xf numFmtId="41" fontId="25" fillId="0" borderId="10" xfId="0" applyNumberFormat="1" applyFont="1" applyBorder="1" applyAlignment="1">
      <alignment horizontal="center" vertical="top"/>
    </xf>
    <xf numFmtId="9" fontId="25" fillId="0" borderId="10" xfId="0" applyNumberFormat="1" applyFont="1" applyBorder="1" applyAlignment="1">
      <alignment horizontal="center" vertical="top"/>
    </xf>
    <xf numFmtId="0" fontId="25" fillId="0" borderId="10" xfId="0" applyFont="1" applyBorder="1" applyAlignment="1">
      <alignment horizontal="center" vertical="top"/>
    </xf>
    <xf numFmtId="167" fontId="25" fillId="0" borderId="10" xfId="0" applyNumberFormat="1" applyFont="1" applyBorder="1" applyAlignment="1">
      <alignment horizontal="center" vertical="top"/>
    </xf>
    <xf numFmtId="165" fontId="25" fillId="0" borderId="10" xfId="0" applyNumberFormat="1" applyFont="1" applyBorder="1" applyAlignment="1">
      <alignment horizontal="center" vertical="top"/>
    </xf>
    <xf numFmtId="0" fontId="25" fillId="0" borderId="23" xfId="0" applyFont="1" applyBorder="1" applyAlignment="1">
      <alignment vertical="top"/>
    </xf>
    <xf numFmtId="1" fontId="25" fillId="0" borderId="10" xfId="0" applyNumberFormat="1" applyFont="1" applyBorder="1" applyAlignment="1">
      <alignment horizontal="center" vertical="top"/>
    </xf>
    <xf numFmtId="167" fontId="25" fillId="0" borderId="10" xfId="45" applyNumberFormat="1" applyFont="1" applyBorder="1" applyAlignment="1">
      <alignment horizontal="center" vertical="top"/>
    </xf>
    <xf numFmtId="0" fontId="25" fillId="0" borderId="10" xfId="0" applyFont="1" applyBorder="1" applyAlignment="1">
      <alignment vertical="top" wrapText="1"/>
    </xf>
    <xf numFmtId="0" fontId="26" fillId="0" borderId="10" xfId="0" applyFont="1" applyBorder="1" applyAlignment="1">
      <alignment vertical="top"/>
    </xf>
    <xf numFmtId="0" fontId="26" fillId="0" borderId="10" xfId="0" applyFont="1" applyBorder="1" applyAlignment="1">
      <alignment horizontal="left" vertical="top"/>
    </xf>
    <xf numFmtId="0" fontId="25" fillId="0" borderId="10" xfId="0" applyFont="1" applyBorder="1" applyAlignment="1">
      <alignment vertical="top"/>
    </xf>
    <xf numFmtId="0" fontId="30" fillId="0" borderId="23" xfId="0" applyFont="1" applyBorder="1" applyAlignment="1">
      <alignment vertical="top"/>
    </xf>
    <xf numFmtId="2" fontId="26" fillId="0" borderId="10" xfId="0" applyNumberFormat="1" applyFont="1" applyBorder="1" applyAlignment="1">
      <alignment horizontal="left" vertical="top" wrapText="1"/>
    </xf>
    <xf numFmtId="166" fontId="26" fillId="0" borderId="10" xfId="0" applyNumberFormat="1" applyFont="1" applyBorder="1" applyAlignment="1">
      <alignment horizontal="center" vertical="top"/>
    </xf>
    <xf numFmtId="44" fontId="25" fillId="0" borderId="10" xfId="0" applyNumberFormat="1" applyFont="1" applyBorder="1" applyAlignment="1">
      <alignment horizontal="center" vertical="top"/>
    </xf>
    <xf numFmtId="2" fontId="26" fillId="0" borderId="10" xfId="45" applyNumberFormat="1" applyFont="1" applyBorder="1" applyAlignment="1">
      <alignment horizontal="left" vertical="top" wrapText="1"/>
    </xf>
    <xf numFmtId="2" fontId="25" fillId="0" borderId="10" xfId="45" applyNumberFormat="1" applyFont="1" applyBorder="1" applyAlignment="1">
      <alignment horizontal="center" vertical="top"/>
    </xf>
    <xf numFmtId="170" fontId="25" fillId="0" borderId="10" xfId="45" applyNumberFormat="1" applyFont="1" applyBorder="1" applyAlignment="1">
      <alignment horizontal="center" vertical="top"/>
    </xf>
    <xf numFmtId="171" fontId="25" fillId="0" borderId="10" xfId="45" applyNumberFormat="1" applyFont="1" applyBorder="1" applyAlignment="1">
      <alignment horizontal="center" vertical="top"/>
    </xf>
    <xf numFmtId="2" fontId="5" fillId="0" borderId="10" xfId="45" applyNumberFormat="1" applyBorder="1" applyAlignment="1">
      <alignment horizontal="left" vertical="top" wrapText="1"/>
    </xf>
    <xf numFmtId="0" fontId="35" fillId="0" borderId="10" xfId="45" applyFont="1" applyBorder="1" applyAlignment="1">
      <alignment horizontal="center" vertical="top" wrapText="1"/>
    </xf>
    <xf numFmtId="172" fontId="26" fillId="0" borderId="10" xfId="0" applyNumberFormat="1" applyFont="1" applyBorder="1" applyAlignment="1">
      <alignment horizontal="center" vertical="top" wrapText="1"/>
    </xf>
    <xf numFmtId="2" fontId="33" fillId="0" borderId="10" xfId="0" applyNumberFormat="1" applyFont="1" applyBorder="1" applyAlignment="1">
      <alignment horizontal="left" vertical="top" wrapText="1"/>
    </xf>
    <xf numFmtId="165" fontId="25" fillId="0" borderId="10" xfId="45" applyNumberFormat="1" applyFont="1" applyBorder="1" applyAlignment="1">
      <alignment horizontal="center" vertical="top"/>
    </xf>
    <xf numFmtId="166" fontId="26" fillId="0" borderId="23" xfId="45" applyNumberFormat="1" applyFont="1" applyBorder="1" applyAlignment="1">
      <alignment horizontal="center" vertical="top"/>
    </xf>
    <xf numFmtId="2" fontId="25" fillId="0" borderId="10" xfId="0" applyNumberFormat="1" applyFont="1" applyBorder="1" applyAlignment="1">
      <alignment horizontal="left" vertical="top" wrapText="1"/>
    </xf>
    <xf numFmtId="2" fontId="26" fillId="0" borderId="10" xfId="0" applyNumberFormat="1" applyFont="1" applyBorder="1" applyAlignment="1">
      <alignment horizontal="center" vertical="top" wrapText="1"/>
    </xf>
    <xf numFmtId="2" fontId="25" fillId="0" borderId="10" xfId="0" applyNumberFormat="1" applyFont="1" applyBorder="1" applyAlignment="1">
      <alignment horizontal="right" vertical="top" wrapText="1"/>
    </xf>
    <xf numFmtId="1" fontId="25" fillId="0" borderId="10" xfId="0" applyNumberFormat="1" applyFont="1" applyBorder="1" applyAlignment="1">
      <alignment vertical="top"/>
    </xf>
    <xf numFmtId="9" fontId="25" fillId="0" borderId="10" xfId="0" applyNumberFormat="1" applyFont="1" applyBorder="1" applyAlignment="1">
      <alignment vertical="top"/>
    </xf>
    <xf numFmtId="168" fontId="25" fillId="0" borderId="10" xfId="0" applyNumberFormat="1" applyFont="1" applyBorder="1" applyAlignment="1">
      <alignment horizontal="center" vertical="top"/>
    </xf>
    <xf numFmtId="0" fontId="42" fillId="0" borderId="10" xfId="0" applyFont="1" applyBorder="1" applyAlignment="1">
      <alignment horizontal="center" vertical="top" wrapText="1"/>
    </xf>
    <xf numFmtId="0" fontId="42" fillId="0" borderId="10" xfId="45" applyFont="1" applyBorder="1" applyAlignment="1">
      <alignment horizontal="center" vertical="top" wrapText="1"/>
    </xf>
    <xf numFmtId="0" fontId="35" fillId="0" borderId="10" xfId="0" applyFont="1" applyBorder="1" applyAlignment="1">
      <alignment horizontal="center" vertical="top" wrapText="1"/>
    </xf>
    <xf numFmtId="0" fontId="42" fillId="0" borderId="10" xfId="0" applyFont="1" applyBorder="1" applyAlignment="1">
      <alignment horizontal="center" vertical="top"/>
    </xf>
    <xf numFmtId="0" fontId="26" fillId="0" borderId="10" xfId="0" applyFont="1" applyBorder="1" applyAlignment="1">
      <alignment horizontal="right" vertical="top"/>
    </xf>
    <xf numFmtId="2" fontId="26" fillId="0" borderId="10" xfId="0" applyNumberFormat="1" applyFont="1" applyBorder="1" applyAlignment="1">
      <alignment horizontal="left" vertical="top"/>
    </xf>
    <xf numFmtId="2" fontId="26" fillId="0" borderId="10" xfId="0" applyNumberFormat="1" applyFont="1" applyBorder="1" applyAlignment="1">
      <alignment vertical="top" wrapText="1"/>
    </xf>
    <xf numFmtId="44" fontId="25" fillId="0" borderId="10" xfId="0" applyNumberFormat="1" applyFont="1" applyBorder="1" applyAlignment="1">
      <alignment vertical="top"/>
    </xf>
    <xf numFmtId="165" fontId="25" fillId="0" borderId="23" xfId="0" applyNumberFormat="1" applyFont="1" applyBorder="1" applyAlignment="1">
      <alignment horizontal="center" vertical="top"/>
    </xf>
    <xf numFmtId="166" fontId="26" fillId="0" borderId="10" xfId="45" applyNumberFormat="1" applyFont="1" applyBorder="1" applyAlignment="1">
      <alignment horizontal="center" vertical="top"/>
    </xf>
    <xf numFmtId="0" fontId="39" fillId="0" borderId="10" xfId="0" applyFont="1" applyBorder="1" applyAlignment="1">
      <alignment horizontal="center" vertical="top" wrapText="1"/>
    </xf>
    <xf numFmtId="2" fontId="35" fillId="0" borderId="10" xfId="0" applyNumberFormat="1" applyFont="1" applyBorder="1" applyAlignment="1">
      <alignment horizontal="left" vertical="top" wrapText="1"/>
    </xf>
    <xf numFmtId="2" fontId="33" fillId="0" borderId="28" xfId="45" applyNumberFormat="1" applyFont="1" applyBorder="1" applyAlignment="1">
      <alignment horizontal="left" vertical="top" wrapText="1"/>
    </xf>
    <xf numFmtId="2" fontId="33" fillId="0" borderId="10" xfId="45" applyNumberFormat="1" applyFont="1" applyBorder="1" applyAlignment="1">
      <alignment horizontal="left" vertical="top" wrapText="1"/>
    </xf>
    <xf numFmtId="2" fontId="26" fillId="0" borderId="10" xfId="45" applyNumberFormat="1" applyFont="1" applyBorder="1" applyAlignment="1">
      <alignment horizontal="left" vertical="top"/>
    </xf>
    <xf numFmtId="2" fontId="33" fillId="0" borderId="10" xfId="45" applyNumberFormat="1" applyFont="1" applyBorder="1" applyAlignment="1">
      <alignment horizontal="left" vertical="top"/>
    </xf>
    <xf numFmtId="2" fontId="38" fillId="0" borderId="10" xfId="45" applyNumberFormat="1" applyFont="1" applyBorder="1" applyAlignment="1">
      <alignment horizontal="left" vertical="top" wrapText="1"/>
    </xf>
    <xf numFmtId="2" fontId="25" fillId="0" borderId="15" xfId="45" applyNumberFormat="1" applyFont="1" applyBorder="1" applyAlignment="1">
      <alignment horizontal="left" vertical="top" wrapText="1"/>
    </xf>
    <xf numFmtId="166" fontId="25" fillId="0" borderId="23" xfId="45" applyNumberFormat="1" applyFont="1" applyBorder="1" applyAlignment="1">
      <alignment horizontal="center" vertical="top"/>
    </xf>
    <xf numFmtId="167" fontId="26" fillId="0" borderId="10" xfId="45" applyNumberFormat="1" applyFont="1" applyBorder="1" applyAlignment="1">
      <alignment horizontal="center" vertical="center"/>
    </xf>
    <xf numFmtId="166" fontId="25" fillId="0" borderId="10" xfId="45" applyNumberFormat="1" applyFont="1" applyBorder="1" applyAlignment="1">
      <alignment vertical="top"/>
    </xf>
    <xf numFmtId="1" fontId="25" fillId="0" borderId="15" xfId="45" applyNumberFormat="1" applyFont="1" applyBorder="1" applyAlignment="1">
      <alignment horizontal="center" vertical="top"/>
    </xf>
    <xf numFmtId="0" fontId="25" fillId="0" borderId="15" xfId="45" applyFont="1" applyBorder="1" applyAlignment="1">
      <alignment horizontal="center" vertical="top"/>
    </xf>
    <xf numFmtId="167" fontId="25" fillId="0" borderId="15" xfId="45" applyNumberFormat="1" applyFont="1" applyBorder="1" applyAlignment="1">
      <alignment horizontal="center" vertical="top"/>
    </xf>
    <xf numFmtId="166" fontId="25" fillId="0" borderId="25" xfId="45" applyNumberFormat="1" applyFont="1" applyBorder="1" applyAlignment="1">
      <alignment horizontal="center" vertical="top"/>
    </xf>
    <xf numFmtId="167" fontId="26" fillId="0" borderId="10" xfId="45" applyNumberFormat="1" applyFont="1" applyBorder="1" applyAlignment="1">
      <alignment horizontal="center" vertical="top"/>
    </xf>
    <xf numFmtId="169" fontId="26" fillId="0" borderId="10" xfId="63" applyNumberFormat="1" applyFont="1" applyFill="1" applyBorder="1" applyAlignment="1">
      <alignment horizontal="center" vertical="top"/>
    </xf>
    <xf numFmtId="165" fontId="25" fillId="0" borderId="10" xfId="45" applyNumberFormat="1" applyFont="1" applyBorder="1" applyAlignment="1">
      <alignment vertical="top"/>
    </xf>
    <xf numFmtId="0" fontId="25" fillId="0" borderId="20" xfId="0" applyFont="1" applyBorder="1" applyAlignment="1">
      <alignment horizontal="center" vertical="top"/>
    </xf>
    <xf numFmtId="0" fontId="25" fillId="0" borderId="29" xfId="0" applyFont="1" applyBorder="1" applyAlignment="1">
      <alignment horizontal="center" vertical="top"/>
    </xf>
    <xf numFmtId="0" fontId="25" fillId="0" borderId="15" xfId="0" applyFont="1" applyBorder="1" applyAlignment="1">
      <alignment horizontal="center" vertical="top" wrapText="1"/>
    </xf>
    <xf numFmtId="0" fontId="25" fillId="0" borderId="15" xfId="0" applyFont="1" applyBorder="1" applyAlignment="1">
      <alignment horizontal="center" vertical="top"/>
    </xf>
    <xf numFmtId="166" fontId="25" fillId="0" borderId="15" xfId="45" applyNumberFormat="1" applyFont="1" applyBorder="1" applyAlignment="1">
      <alignment vertical="top"/>
    </xf>
    <xf numFmtId="0" fontId="25" fillId="0" borderId="24" xfId="0" applyFont="1" applyBorder="1" applyAlignment="1">
      <alignment horizontal="center" vertical="top"/>
    </xf>
    <xf numFmtId="0" fontId="25" fillId="0" borderId="28" xfId="0" applyFont="1" applyBorder="1" applyAlignment="1">
      <alignment horizontal="center" vertical="top" wrapText="1"/>
    </xf>
    <xf numFmtId="0" fontId="25" fillId="0" borderId="28" xfId="0" applyFont="1" applyBorder="1" applyAlignment="1">
      <alignment horizontal="center" vertical="top"/>
    </xf>
    <xf numFmtId="0" fontId="25" fillId="0" borderId="28" xfId="45" applyFont="1" applyBorder="1" applyAlignment="1">
      <alignment horizontal="center" vertical="top"/>
    </xf>
    <xf numFmtId="167" fontId="25" fillId="0" borderId="28" xfId="45" applyNumberFormat="1" applyFont="1" applyBorder="1" applyAlignment="1">
      <alignment horizontal="center" vertical="top"/>
    </xf>
    <xf numFmtId="166" fontId="25" fillId="0" borderId="28" xfId="45" applyNumberFormat="1" applyFont="1" applyBorder="1" applyAlignment="1">
      <alignment horizontal="center" vertical="top"/>
    </xf>
    <xf numFmtId="166" fontId="25" fillId="0" borderId="30" xfId="45" applyNumberFormat="1" applyFont="1" applyBorder="1" applyAlignment="1">
      <alignment horizontal="center" vertical="top"/>
    </xf>
  </cellXfs>
  <cellStyles count="64">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Comma 2" xfId="46" xr:uid="{00000000-0005-0000-0000-00001B000000}"/>
    <cellStyle name="Comma 2 2" xfId="48" xr:uid="{00000000-0005-0000-0000-00001C000000}"/>
    <cellStyle name="Currency" xfId="56" builtinId="4"/>
    <cellStyle name="Currency 2" xfId="50" xr:uid="{00000000-0005-0000-0000-00001E000000}"/>
    <cellStyle name="Currency 3" xfId="55" xr:uid="{00000000-0005-0000-0000-00001F000000}"/>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Hyperlink" xfId="54" builtinId="8"/>
    <cellStyle name="Input" xfId="34" builtinId="20" customBuiltin="1"/>
    <cellStyle name="Linked Cell" xfId="35" builtinId="24" customBuiltin="1"/>
    <cellStyle name="Neutral" xfId="36" builtinId="28" customBuiltin="1"/>
    <cellStyle name="Normal" xfId="0" builtinId="0"/>
    <cellStyle name="Normal 2" xfId="44" xr:uid="{00000000-0005-0000-0000-00002B000000}"/>
    <cellStyle name="Normal 2 2" xfId="47" xr:uid="{00000000-0005-0000-0000-00002C000000}"/>
    <cellStyle name="Normal 2 2 2" xfId="60" xr:uid="{00000000-0005-0000-0000-00002D000000}"/>
    <cellStyle name="Normal 2 2 3" xfId="62" xr:uid="{00000000-0005-0000-0000-00002E000000}"/>
    <cellStyle name="Normal 2 3" xfId="45" xr:uid="{00000000-0005-0000-0000-00002F000000}"/>
    <cellStyle name="Normal 2 3 2" xfId="52" xr:uid="{00000000-0005-0000-0000-000030000000}"/>
    <cellStyle name="Normal 3" xfId="37" xr:uid="{00000000-0005-0000-0000-000031000000}"/>
    <cellStyle name="Normal 4" xfId="43" xr:uid="{00000000-0005-0000-0000-000032000000}"/>
    <cellStyle name="Normal 4 2" xfId="53" xr:uid="{00000000-0005-0000-0000-000033000000}"/>
    <cellStyle name="Normal 4 3" xfId="51" xr:uid="{00000000-0005-0000-0000-000034000000}"/>
    <cellStyle name="Normal 4 4" xfId="59" xr:uid="{00000000-0005-0000-0000-000035000000}"/>
    <cellStyle name="Normal 5" xfId="49" xr:uid="{00000000-0005-0000-0000-000036000000}"/>
    <cellStyle name="Note" xfId="38" builtinId="10" customBuiltin="1"/>
    <cellStyle name="Output" xfId="39" builtinId="21" customBuiltin="1"/>
    <cellStyle name="Percent" xfId="57" builtinId="5"/>
    <cellStyle name="Percent 2" xfId="58" xr:uid="{00000000-0005-0000-0000-00003A000000}"/>
    <cellStyle name="Percent 3 2" xfId="61" xr:uid="{00000000-0005-0000-0000-00003B000000}"/>
    <cellStyle name="Percent 3 2 2" xfId="63" xr:uid="{00000000-0005-0000-0000-00003C000000}"/>
    <cellStyle name="Title" xfId="40" builtinId="15" customBuiltin="1"/>
    <cellStyle name="Total" xfId="41" builtinId="25" customBuiltin="1"/>
    <cellStyle name="Warning Text" xfId="42" builtinId="11" customBuiltin="1"/>
  </cellStyles>
  <dxfs count="0"/>
  <tableStyles count="0" defaultTableStyle="TableStyleMedium9" defaultPivotStyle="PivotStyleLight16"/>
  <colors>
    <mruColors>
      <color rgb="FFF55D61"/>
      <color rgb="FFFED2DC"/>
      <color rgb="FFD5D5D5"/>
      <color rgb="FFB94517"/>
      <color rgb="FFFE9494"/>
      <color rgb="FFF3F3F3"/>
      <color rgb="FFF50101"/>
      <color rgb="FFCE2008"/>
      <color rgb="FFFF512C"/>
      <color rgb="FFDE796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9</xdr:col>
      <xdr:colOff>561975</xdr:colOff>
      <xdr:row>1</xdr:row>
      <xdr:rowOff>66675</xdr:rowOff>
    </xdr:from>
    <xdr:to>
      <xdr:col>11</xdr:col>
      <xdr:colOff>712133</xdr:colOff>
      <xdr:row>4</xdr:row>
      <xdr:rowOff>140297</xdr:rowOff>
    </xdr:to>
    <xdr:pic>
      <xdr:nvPicPr>
        <xdr:cNvPr id="2" name="Picture 1">
          <a:extLst>
            <a:ext uri="{FF2B5EF4-FFF2-40B4-BE49-F238E27FC236}">
              <a16:creationId xmlns:a16="http://schemas.microsoft.com/office/drawing/2014/main" id="{D93910A0-C3AD-4336-BEDB-4672DD45799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563225" y="276225"/>
          <a:ext cx="1931333" cy="673697"/>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FFC000"/>
    <pageSetUpPr fitToPage="1"/>
  </sheetPr>
  <dimension ref="A1:BV313"/>
  <sheetViews>
    <sheetView showGridLines="0" tabSelected="1" view="pageBreakPreview" topLeftCell="A291" zoomScale="85" zoomScaleNormal="115" zoomScaleSheetLayoutView="85" workbookViewId="0">
      <selection activeCell="E317" sqref="E317"/>
    </sheetView>
  </sheetViews>
  <sheetFormatPr defaultColWidth="9.6640625" defaultRowHeight="15.75" x14ac:dyDescent="0.2"/>
  <cols>
    <col min="1" max="1" width="5.33203125" style="3" customWidth="1"/>
    <col min="2" max="2" width="12.33203125" style="11" customWidth="1"/>
    <col min="3" max="3" width="14.88671875" style="4" bestFit="1" customWidth="1"/>
    <col min="4" max="4" width="7.44140625" style="4" customWidth="1"/>
    <col min="5" max="5" width="45.77734375" style="8" customWidth="1"/>
    <col min="6" max="6" width="8.109375" style="10" customWidth="1"/>
    <col min="7" max="7" width="8.109375" style="5" customWidth="1"/>
    <col min="8" max="8" width="7.88671875" style="5" customWidth="1"/>
    <col min="9" max="9" width="7.109375" style="4" customWidth="1"/>
    <col min="10" max="10" width="9.33203125" style="13" customWidth="1"/>
    <col min="11" max="11" width="11.44140625" style="6" customWidth="1"/>
    <col min="12" max="12" width="11.6640625" style="9" customWidth="1"/>
    <col min="13" max="13" width="9.6640625" style="9"/>
    <col min="14" max="14" width="10.77734375" style="9" bestFit="1" customWidth="1"/>
    <col min="15" max="74" width="9.6640625" style="9"/>
    <col min="75" max="16384" width="9.6640625" style="1"/>
  </cols>
  <sheetData>
    <row r="1" spans="1:74" s="2" customFormat="1" ht="16.5" thickBot="1" x14ac:dyDescent="0.25">
      <c r="A1" s="60" t="s">
        <v>7</v>
      </c>
      <c r="B1" s="61"/>
      <c r="C1" s="62"/>
      <c r="D1" s="62"/>
      <c r="E1" s="63"/>
      <c r="F1" s="64"/>
      <c r="G1" s="64"/>
      <c r="H1" s="64"/>
      <c r="I1" s="64"/>
      <c r="J1" s="65"/>
      <c r="K1" s="64"/>
      <c r="L1" s="66" t="s">
        <v>13</v>
      </c>
      <c r="M1" s="90"/>
      <c r="N1" s="90"/>
      <c r="O1" s="90"/>
      <c r="P1" s="90"/>
      <c r="Q1" s="90"/>
      <c r="R1" s="90"/>
      <c r="S1" s="90"/>
      <c r="T1" s="90"/>
      <c r="U1" s="90"/>
      <c r="V1" s="90"/>
      <c r="W1" s="90"/>
      <c r="X1" s="90"/>
      <c r="Y1" s="90"/>
      <c r="Z1" s="90"/>
      <c r="AA1" s="90"/>
      <c r="AB1" s="90"/>
      <c r="AC1" s="90"/>
      <c r="AD1" s="90"/>
      <c r="AE1" s="90"/>
      <c r="AF1" s="90"/>
      <c r="AG1" s="90"/>
      <c r="AH1" s="90"/>
      <c r="AI1" s="90"/>
      <c r="AJ1" s="90"/>
      <c r="AK1" s="90"/>
      <c r="AL1" s="90"/>
      <c r="AM1" s="90"/>
      <c r="AN1" s="90"/>
      <c r="AO1" s="90"/>
      <c r="AP1" s="90"/>
      <c r="AQ1" s="90"/>
      <c r="AR1" s="90"/>
      <c r="AS1" s="90"/>
      <c r="AT1" s="90"/>
      <c r="AU1" s="90"/>
      <c r="AV1" s="90"/>
      <c r="AW1" s="90"/>
      <c r="AX1" s="90"/>
      <c r="AY1" s="90"/>
      <c r="AZ1" s="90"/>
      <c r="BA1" s="90"/>
      <c r="BB1" s="90"/>
      <c r="BC1" s="90"/>
      <c r="BD1" s="90"/>
      <c r="BE1" s="90"/>
      <c r="BF1" s="90"/>
      <c r="BG1" s="90"/>
      <c r="BH1" s="90"/>
      <c r="BI1" s="90"/>
      <c r="BJ1" s="90"/>
      <c r="BK1" s="90"/>
      <c r="BL1" s="90"/>
      <c r="BM1" s="90"/>
      <c r="BN1" s="90"/>
      <c r="BO1" s="90"/>
      <c r="BP1" s="90"/>
      <c r="BQ1" s="90"/>
      <c r="BR1" s="90"/>
      <c r="BS1" s="90"/>
      <c r="BT1" s="90"/>
      <c r="BU1" s="90"/>
      <c r="BV1" s="90"/>
    </row>
    <row r="2" spans="1:74" x14ac:dyDescent="0.2">
      <c r="A2" s="37" t="s">
        <v>8</v>
      </c>
      <c r="B2" s="38"/>
      <c r="C2" s="39"/>
      <c r="D2" s="23"/>
      <c r="E2" s="24"/>
      <c r="F2" s="40"/>
      <c r="G2" s="24"/>
      <c r="H2" s="40"/>
      <c r="I2" s="40"/>
      <c r="J2" s="41"/>
      <c r="K2" s="17"/>
      <c r="L2" s="42"/>
    </row>
    <row r="3" spans="1:74" x14ac:dyDescent="0.2">
      <c r="A3" s="43" t="s">
        <v>9</v>
      </c>
      <c r="B3" s="44"/>
      <c r="C3" s="45">
        <v>45120</v>
      </c>
      <c r="D3" s="99"/>
      <c r="E3" s="99"/>
      <c r="F3" s="100"/>
      <c r="G3" s="101"/>
      <c r="H3" s="102"/>
      <c r="I3" s="103"/>
      <c r="J3" s="18"/>
      <c r="K3" s="104"/>
      <c r="L3" s="19"/>
    </row>
    <row r="4" spans="1:74" x14ac:dyDescent="0.2">
      <c r="A4" s="43" t="s">
        <v>10</v>
      </c>
      <c r="B4" s="44"/>
      <c r="C4" s="45">
        <v>45111</v>
      </c>
      <c r="D4" s="99"/>
      <c r="E4" s="101"/>
      <c r="F4" s="100"/>
      <c r="G4" s="101"/>
      <c r="H4" s="102"/>
      <c r="I4" s="103"/>
      <c r="J4" s="18"/>
      <c r="K4" s="104"/>
      <c r="L4" s="19"/>
    </row>
    <row r="5" spans="1:74" ht="16.5" thickBot="1" x14ac:dyDescent="0.25">
      <c r="A5" s="46" t="s">
        <v>3</v>
      </c>
      <c r="B5" s="47"/>
      <c r="C5" s="48">
        <f>L$276</f>
        <v>0</v>
      </c>
      <c r="D5" s="25"/>
      <c r="E5" s="26"/>
      <c r="F5" s="105"/>
      <c r="G5" s="26"/>
      <c r="H5" s="106"/>
      <c r="I5" s="107"/>
      <c r="J5" s="20"/>
      <c r="K5" s="49"/>
      <c r="L5" s="50"/>
    </row>
    <row r="6" spans="1:74" s="67" customFormat="1" ht="43.5" customHeight="1" thickBot="1" x14ac:dyDescent="0.25">
      <c r="A6" s="108" t="s">
        <v>11</v>
      </c>
      <c r="B6" s="109" t="s">
        <v>16</v>
      </c>
      <c r="C6" s="109" t="s">
        <v>17</v>
      </c>
      <c r="D6" s="109" t="s">
        <v>19</v>
      </c>
      <c r="E6" s="109" t="s">
        <v>1</v>
      </c>
      <c r="F6" s="109" t="s">
        <v>116</v>
      </c>
      <c r="G6" s="109" t="s">
        <v>4</v>
      </c>
      <c r="H6" s="109" t="s">
        <v>5</v>
      </c>
      <c r="I6" s="109" t="s">
        <v>0</v>
      </c>
      <c r="J6" s="109" t="s">
        <v>2</v>
      </c>
      <c r="K6" s="110" t="s">
        <v>6</v>
      </c>
      <c r="L6" s="111" t="s">
        <v>12</v>
      </c>
      <c r="M6" s="91"/>
      <c r="N6" s="91"/>
      <c r="O6" s="91"/>
      <c r="P6" s="91"/>
      <c r="Q6" s="91"/>
      <c r="R6" s="91"/>
      <c r="S6" s="91"/>
      <c r="T6" s="91"/>
      <c r="U6" s="91"/>
      <c r="V6" s="91"/>
      <c r="W6" s="91"/>
      <c r="X6" s="91"/>
      <c r="Y6" s="91"/>
      <c r="Z6" s="91"/>
      <c r="AA6" s="91"/>
      <c r="AB6" s="91"/>
      <c r="AC6" s="91"/>
      <c r="AD6" s="91"/>
      <c r="AE6" s="91"/>
      <c r="AF6" s="91"/>
      <c r="AG6" s="91"/>
      <c r="AH6" s="91"/>
      <c r="AI6" s="91"/>
      <c r="AJ6" s="91"/>
      <c r="AK6" s="91"/>
      <c r="AL6" s="91"/>
      <c r="AM6" s="91"/>
      <c r="AN6" s="91"/>
      <c r="AO6" s="91"/>
      <c r="AP6" s="91"/>
      <c r="AQ6" s="91"/>
      <c r="AR6" s="91"/>
      <c r="AS6" s="91"/>
      <c r="AT6" s="91"/>
      <c r="AU6" s="91"/>
      <c r="AV6" s="91"/>
      <c r="AW6" s="91"/>
      <c r="AX6" s="91"/>
      <c r="AY6" s="91"/>
      <c r="AZ6" s="91"/>
      <c r="BA6" s="91"/>
      <c r="BB6" s="91"/>
      <c r="BC6" s="91"/>
      <c r="BD6" s="91"/>
      <c r="BE6" s="91"/>
      <c r="BF6" s="91"/>
      <c r="BG6" s="91"/>
      <c r="BH6" s="91"/>
      <c r="BI6" s="91"/>
      <c r="BJ6" s="91"/>
      <c r="BK6" s="91"/>
      <c r="BL6" s="91"/>
      <c r="BM6" s="91"/>
      <c r="BN6" s="91"/>
      <c r="BO6" s="91"/>
      <c r="BP6" s="91"/>
      <c r="BQ6" s="91"/>
      <c r="BR6" s="91"/>
      <c r="BS6" s="91"/>
      <c r="BT6" s="91"/>
      <c r="BU6" s="91"/>
      <c r="BV6" s="91"/>
    </row>
    <row r="7" spans="1:74" s="14" customFormat="1" x14ac:dyDescent="0.2">
      <c r="A7" s="128" t="str">
        <f>IF(F7&lt;&gt;"",1+MAX(#REF!),"")</f>
        <v/>
      </c>
      <c r="B7" s="129"/>
      <c r="C7" s="130"/>
      <c r="D7" s="131" t="s">
        <v>31</v>
      </c>
      <c r="E7" s="132" t="s">
        <v>32</v>
      </c>
      <c r="F7" s="133"/>
      <c r="G7" s="134"/>
      <c r="H7" s="134"/>
      <c r="I7" s="134"/>
      <c r="J7" s="127"/>
      <c r="K7" s="134"/>
      <c r="L7" s="135"/>
      <c r="M7" s="92"/>
      <c r="N7" s="92"/>
      <c r="O7" s="92"/>
      <c r="P7" s="92"/>
      <c r="Q7" s="92"/>
      <c r="R7" s="92"/>
      <c r="S7" s="92"/>
      <c r="T7" s="92"/>
      <c r="U7" s="92"/>
      <c r="V7" s="92"/>
      <c r="W7" s="92"/>
      <c r="X7" s="92"/>
      <c r="Y7" s="92"/>
      <c r="Z7" s="92"/>
      <c r="AA7" s="92"/>
      <c r="AB7" s="92"/>
      <c r="AC7" s="92"/>
      <c r="AD7" s="92"/>
      <c r="AE7" s="92"/>
      <c r="AF7" s="92"/>
      <c r="AG7" s="92"/>
      <c r="AH7" s="92"/>
      <c r="AI7" s="92"/>
      <c r="AJ7" s="92"/>
      <c r="AK7" s="92"/>
      <c r="AL7" s="92"/>
      <c r="AM7" s="92"/>
      <c r="AN7" s="92"/>
      <c r="AO7" s="92"/>
      <c r="AP7" s="92"/>
      <c r="AQ7" s="92"/>
      <c r="AR7" s="92"/>
      <c r="AS7" s="92"/>
      <c r="AT7" s="92"/>
      <c r="AU7" s="92"/>
      <c r="AV7" s="92"/>
      <c r="AW7" s="92"/>
      <c r="AX7" s="92"/>
      <c r="AY7" s="92"/>
      <c r="AZ7" s="92"/>
      <c r="BA7" s="92"/>
      <c r="BB7" s="92"/>
      <c r="BC7" s="92"/>
      <c r="BD7" s="92"/>
      <c r="BE7" s="92"/>
      <c r="BF7" s="92"/>
      <c r="BG7" s="92"/>
      <c r="BH7" s="92"/>
      <c r="BI7" s="92"/>
      <c r="BJ7" s="92"/>
      <c r="BK7" s="92"/>
      <c r="BL7" s="92"/>
      <c r="BM7" s="92"/>
      <c r="BN7" s="92"/>
      <c r="BO7" s="92"/>
      <c r="BP7" s="92"/>
      <c r="BQ7" s="92"/>
      <c r="BR7" s="92"/>
      <c r="BS7" s="92"/>
      <c r="BT7" s="92"/>
      <c r="BU7" s="92"/>
      <c r="BV7" s="92"/>
    </row>
    <row r="8" spans="1:74" s="15" customFormat="1" ht="141.75" x14ac:dyDescent="0.2">
      <c r="A8" s="136">
        <f>IF(F8&lt;&gt;"",1+MAX($A$1:A7),"")</f>
        <v>1</v>
      </c>
      <c r="B8" s="137"/>
      <c r="C8" s="137"/>
      <c r="D8" s="138"/>
      <c r="E8" s="139" t="s">
        <v>129</v>
      </c>
      <c r="F8" s="140">
        <v>1</v>
      </c>
      <c r="G8" s="96">
        <v>0</v>
      </c>
      <c r="H8" s="141">
        <f t="shared" ref="H8" si="0">F8*(1+G8)</f>
        <v>1</v>
      </c>
      <c r="I8" s="142" t="s">
        <v>27</v>
      </c>
      <c r="J8" s="143">
        <v>0</v>
      </c>
      <c r="K8" s="97">
        <f>J8*H8</f>
        <v>0</v>
      </c>
      <c r="L8" s="144"/>
      <c r="M8" s="16"/>
      <c r="N8" s="16"/>
      <c r="O8" s="16"/>
      <c r="P8" s="16"/>
      <c r="Q8" s="16"/>
      <c r="R8" s="16"/>
      <c r="S8" s="16"/>
      <c r="T8" s="16"/>
      <c r="U8" s="16"/>
      <c r="V8" s="16"/>
      <c r="W8" s="16"/>
      <c r="X8" s="16"/>
      <c r="Y8" s="16"/>
      <c r="Z8" s="16"/>
      <c r="AA8" s="16"/>
      <c r="AB8" s="16"/>
      <c r="AC8" s="16"/>
      <c r="AD8" s="16"/>
      <c r="AE8" s="16"/>
      <c r="AF8" s="16"/>
      <c r="AG8" s="16"/>
      <c r="AH8" s="16"/>
      <c r="AI8" s="16"/>
      <c r="AJ8" s="16"/>
      <c r="AK8" s="16"/>
      <c r="AL8" s="16"/>
      <c r="AM8" s="16"/>
      <c r="AN8" s="16"/>
      <c r="AO8" s="16"/>
      <c r="AP8" s="16"/>
      <c r="AQ8" s="16"/>
      <c r="AR8" s="16"/>
      <c r="AS8" s="16"/>
      <c r="AT8" s="16"/>
      <c r="AU8" s="16"/>
      <c r="AV8" s="16"/>
      <c r="AW8" s="16"/>
      <c r="AX8" s="16"/>
      <c r="AY8" s="16"/>
      <c r="AZ8" s="16"/>
      <c r="BA8" s="16"/>
      <c r="BB8" s="16"/>
      <c r="BC8" s="16"/>
      <c r="BD8" s="16"/>
      <c r="BE8" s="16"/>
      <c r="BF8" s="16"/>
      <c r="BG8" s="16"/>
      <c r="BH8" s="16"/>
      <c r="BI8" s="16"/>
      <c r="BJ8" s="16"/>
      <c r="BK8" s="16"/>
      <c r="BL8" s="16"/>
      <c r="BM8" s="16"/>
      <c r="BN8" s="16"/>
      <c r="BO8" s="16"/>
      <c r="BP8" s="16"/>
      <c r="BQ8" s="16"/>
      <c r="BR8" s="16"/>
      <c r="BS8" s="16"/>
      <c r="BT8" s="16"/>
      <c r="BU8" s="16"/>
      <c r="BV8" s="16"/>
    </row>
    <row r="9" spans="1:74" x14ac:dyDescent="0.2">
      <c r="A9" s="136" t="str">
        <f>IF(F9&lt;&gt;"",1+MAX($A$1:A8),"")</f>
        <v/>
      </c>
      <c r="B9" s="145"/>
      <c r="C9" s="145"/>
      <c r="D9" s="146"/>
      <c r="E9" s="147"/>
      <c r="F9" s="148"/>
      <c r="G9" s="149"/>
      <c r="H9" s="148"/>
      <c r="I9" s="150"/>
      <c r="J9" s="151"/>
      <c r="K9" s="152"/>
      <c r="L9" s="153"/>
    </row>
    <row r="10" spans="1:74" x14ac:dyDescent="0.2">
      <c r="A10" s="136" t="str">
        <f>IF(F10&lt;&gt;"",1+MAX($A$1:A9),"")</f>
        <v/>
      </c>
      <c r="B10" s="145"/>
      <c r="C10" s="145"/>
      <c r="D10" s="146"/>
      <c r="E10" s="147" t="s">
        <v>33</v>
      </c>
      <c r="F10" s="154"/>
      <c r="G10" s="149"/>
      <c r="H10" s="148"/>
      <c r="I10" s="150"/>
      <c r="J10" s="151"/>
      <c r="K10" s="123"/>
      <c r="L10" s="12">
        <f>SUM(K8:K9)</f>
        <v>0</v>
      </c>
    </row>
    <row r="11" spans="1:74" s="16" customFormat="1" ht="18.75" x14ac:dyDescent="0.2">
      <c r="A11" s="136" t="str">
        <f>IF(F11&lt;&gt;"",1+MAX($A$1:A10),"")</f>
        <v/>
      </c>
      <c r="B11" s="137"/>
      <c r="C11" s="137"/>
      <c r="D11" s="138"/>
      <c r="E11" s="139"/>
      <c r="F11" s="140"/>
      <c r="G11" s="96"/>
      <c r="H11" s="141"/>
      <c r="I11" s="142"/>
      <c r="J11" s="155"/>
      <c r="K11" s="97"/>
      <c r="L11" s="144"/>
    </row>
    <row r="12" spans="1:74" s="7" customFormat="1" x14ac:dyDescent="0.2">
      <c r="A12" s="136" t="str">
        <f>IF(F12&lt;&gt;"",1+MAX($A$1:A11),"")</f>
        <v/>
      </c>
      <c r="B12" s="156"/>
      <c r="C12" s="157"/>
      <c r="D12" s="157" t="s">
        <v>73</v>
      </c>
      <c r="E12" s="158" t="s">
        <v>75</v>
      </c>
      <c r="F12" s="154"/>
      <c r="G12" s="159"/>
      <c r="H12" s="159"/>
      <c r="I12" s="159"/>
      <c r="J12" s="122"/>
      <c r="K12" s="159"/>
      <c r="L12" s="160"/>
      <c r="M12" s="93"/>
      <c r="N12" s="93"/>
      <c r="O12" s="93"/>
      <c r="P12" s="93"/>
      <c r="Q12" s="93"/>
      <c r="R12" s="93"/>
      <c r="S12" s="93"/>
      <c r="T12" s="93"/>
      <c r="U12" s="93"/>
      <c r="V12" s="93"/>
      <c r="W12" s="93"/>
      <c r="X12" s="93"/>
      <c r="Y12" s="93"/>
      <c r="Z12" s="93"/>
      <c r="AA12" s="93"/>
      <c r="AB12" s="93"/>
      <c r="AC12" s="93"/>
      <c r="AD12" s="93"/>
      <c r="AE12" s="93"/>
      <c r="AF12" s="93"/>
      <c r="AG12" s="93"/>
      <c r="AH12" s="93"/>
      <c r="AI12" s="93"/>
      <c r="AJ12" s="93"/>
      <c r="AK12" s="93"/>
      <c r="AL12" s="93"/>
      <c r="AM12" s="93"/>
      <c r="AN12" s="93"/>
      <c r="AO12" s="93"/>
      <c r="AP12" s="93"/>
      <c r="AQ12" s="93"/>
      <c r="AR12" s="93"/>
      <c r="AS12" s="93"/>
      <c r="AT12" s="93"/>
      <c r="AU12" s="93"/>
      <c r="AV12" s="93"/>
      <c r="AW12" s="93"/>
      <c r="AX12" s="93"/>
      <c r="AY12" s="93"/>
      <c r="AZ12" s="93"/>
      <c r="BA12" s="93"/>
      <c r="BB12" s="93"/>
      <c r="BC12" s="93"/>
      <c r="BD12" s="93"/>
      <c r="BE12" s="93"/>
      <c r="BF12" s="93"/>
      <c r="BG12" s="93"/>
      <c r="BH12" s="93"/>
      <c r="BI12" s="93"/>
      <c r="BJ12" s="93"/>
      <c r="BK12" s="93"/>
      <c r="BL12" s="93"/>
      <c r="BM12" s="93"/>
      <c r="BN12" s="93"/>
      <c r="BO12" s="93"/>
      <c r="BP12" s="93"/>
      <c r="BQ12" s="93"/>
      <c r="BR12" s="93"/>
      <c r="BS12" s="93"/>
      <c r="BT12" s="93"/>
      <c r="BU12" s="93"/>
      <c r="BV12" s="93"/>
    </row>
    <row r="13" spans="1:74" x14ac:dyDescent="0.2">
      <c r="A13" s="136" t="str">
        <f>IF(F13&lt;&gt;"",1+MAX($A$1:A12),"")</f>
        <v/>
      </c>
      <c r="B13" s="145"/>
      <c r="C13" s="145"/>
      <c r="D13" s="145"/>
      <c r="E13" s="161" t="s">
        <v>74</v>
      </c>
      <c r="F13" s="154"/>
      <c r="G13" s="149"/>
      <c r="H13" s="148"/>
      <c r="I13" s="150"/>
      <c r="J13" s="21"/>
      <c r="K13" s="162"/>
      <c r="L13" s="160"/>
    </row>
    <row r="14" spans="1:74" s="15" customFormat="1" ht="18.75" x14ac:dyDescent="0.2">
      <c r="A14" s="136">
        <f>IF(F14&lt;&gt;"",1+MAX($A$1:A13),"")</f>
        <v>2</v>
      </c>
      <c r="B14" s="137" t="s">
        <v>135</v>
      </c>
      <c r="C14" s="137"/>
      <c r="D14" s="138"/>
      <c r="E14" s="139" t="s">
        <v>134</v>
      </c>
      <c r="F14" s="140">
        <f>((5.5*0.5*8+35.4*1*8))/27</f>
        <v>11.303703703703704</v>
      </c>
      <c r="G14" s="96">
        <v>0</v>
      </c>
      <c r="H14" s="141">
        <f t="shared" ref="H14" si="1">F14*(1+G14)</f>
        <v>11.303703703703704</v>
      </c>
      <c r="I14" s="142" t="s">
        <v>108</v>
      </c>
      <c r="J14" s="155">
        <v>0</v>
      </c>
      <c r="K14" s="97">
        <f t="shared" ref="K14" si="2">J14*H14</f>
        <v>0</v>
      </c>
      <c r="L14" s="144"/>
      <c r="M14" s="16"/>
      <c r="N14" s="16"/>
      <c r="O14" s="16"/>
      <c r="P14" s="16"/>
      <c r="Q14" s="16"/>
      <c r="R14" s="16"/>
      <c r="S14" s="16"/>
      <c r="T14" s="16"/>
      <c r="U14" s="16"/>
      <c r="V14" s="16"/>
      <c r="W14" s="16"/>
      <c r="X14" s="16"/>
      <c r="Y14" s="16"/>
      <c r="Z14" s="16"/>
      <c r="AA14" s="16"/>
      <c r="AB14" s="16"/>
      <c r="AC14" s="16"/>
      <c r="AD14" s="16"/>
      <c r="AE14" s="16"/>
      <c r="AF14" s="16"/>
      <c r="AG14" s="16"/>
      <c r="AH14" s="16"/>
      <c r="AI14" s="16"/>
      <c r="AJ14" s="16"/>
      <c r="AK14" s="16"/>
      <c r="AL14" s="16"/>
      <c r="AM14" s="16"/>
      <c r="AN14" s="16"/>
      <c r="AO14" s="16"/>
      <c r="AP14" s="16"/>
      <c r="AQ14" s="16"/>
      <c r="AR14" s="16"/>
      <c r="AS14" s="16"/>
      <c r="AT14" s="16"/>
      <c r="AU14" s="16"/>
      <c r="AV14" s="16"/>
      <c r="AW14" s="16"/>
      <c r="AX14" s="16"/>
      <c r="AY14" s="16"/>
      <c r="AZ14" s="16"/>
      <c r="BA14" s="16"/>
      <c r="BB14" s="16"/>
      <c r="BC14" s="16"/>
      <c r="BD14" s="16"/>
      <c r="BE14" s="16"/>
      <c r="BF14" s="16"/>
      <c r="BG14" s="16"/>
      <c r="BH14" s="16"/>
      <c r="BI14" s="16"/>
      <c r="BJ14" s="16"/>
      <c r="BK14" s="16"/>
      <c r="BL14" s="16"/>
      <c r="BM14" s="16"/>
      <c r="BN14" s="16"/>
      <c r="BO14" s="16"/>
      <c r="BP14" s="16"/>
      <c r="BQ14" s="16"/>
      <c r="BR14" s="16"/>
      <c r="BS14" s="16"/>
      <c r="BT14" s="16"/>
      <c r="BU14" s="16"/>
      <c r="BV14" s="16"/>
    </row>
    <row r="15" spans="1:74" s="15" customFormat="1" ht="18.75" x14ac:dyDescent="0.2">
      <c r="A15" s="136">
        <f>IF(F15&lt;&gt;"",1+MAX($A$1:A14),"")</f>
        <v>3</v>
      </c>
      <c r="B15" s="137" t="s">
        <v>135</v>
      </c>
      <c r="C15" s="137"/>
      <c r="D15" s="138"/>
      <c r="E15" s="139" t="s">
        <v>77</v>
      </c>
      <c r="F15" s="140">
        <f>34.7*8.167+3.4*6.67</f>
        <v>306.0729</v>
      </c>
      <c r="G15" s="96">
        <v>0</v>
      </c>
      <c r="H15" s="141">
        <f t="shared" ref="H15" si="3">F15*(1+G15)</f>
        <v>306.0729</v>
      </c>
      <c r="I15" s="142" t="s">
        <v>18</v>
      </c>
      <c r="J15" s="155">
        <v>0</v>
      </c>
      <c r="K15" s="97">
        <f t="shared" ref="K15" si="4">J15*H15</f>
        <v>0</v>
      </c>
      <c r="L15" s="144"/>
      <c r="M15" s="16"/>
      <c r="N15" s="16"/>
      <c r="O15" s="16"/>
      <c r="P15" s="16"/>
      <c r="Q15" s="16"/>
      <c r="R15" s="16"/>
      <c r="S15" s="16"/>
      <c r="T15" s="16"/>
      <c r="U15" s="16"/>
      <c r="V15" s="16"/>
      <c r="W15" s="16"/>
      <c r="X15" s="16"/>
      <c r="Y15" s="16"/>
      <c r="Z15" s="16"/>
      <c r="AA15" s="16"/>
      <c r="AB15" s="16"/>
      <c r="AC15" s="16"/>
      <c r="AD15" s="16"/>
      <c r="AE15" s="16"/>
      <c r="AF15" s="16"/>
      <c r="AG15" s="16"/>
      <c r="AH15" s="16"/>
      <c r="AI15" s="16"/>
      <c r="AJ15" s="16"/>
      <c r="AK15" s="16"/>
      <c r="AL15" s="16"/>
      <c r="AM15" s="16"/>
      <c r="AN15" s="16"/>
      <c r="AO15" s="16"/>
      <c r="AP15" s="16"/>
      <c r="AQ15" s="16"/>
      <c r="AR15" s="16"/>
      <c r="AS15" s="16"/>
      <c r="AT15" s="16"/>
      <c r="AU15" s="16"/>
      <c r="AV15" s="16"/>
      <c r="AW15" s="16"/>
      <c r="AX15" s="16"/>
      <c r="AY15" s="16"/>
      <c r="AZ15" s="16"/>
      <c r="BA15" s="16"/>
      <c r="BB15" s="16"/>
      <c r="BC15" s="16"/>
      <c r="BD15" s="16"/>
      <c r="BE15" s="16"/>
      <c r="BF15" s="16"/>
      <c r="BG15" s="16"/>
      <c r="BH15" s="16"/>
      <c r="BI15" s="16"/>
      <c r="BJ15" s="16"/>
      <c r="BK15" s="16"/>
      <c r="BL15" s="16"/>
      <c r="BM15" s="16"/>
      <c r="BN15" s="16"/>
      <c r="BO15" s="16"/>
      <c r="BP15" s="16"/>
      <c r="BQ15" s="16"/>
      <c r="BR15" s="16"/>
      <c r="BS15" s="16"/>
      <c r="BT15" s="16"/>
      <c r="BU15" s="16"/>
      <c r="BV15" s="16"/>
    </row>
    <row r="16" spans="1:74" s="15" customFormat="1" ht="18.75" x14ac:dyDescent="0.2">
      <c r="A16" s="136">
        <f>IF(F16&lt;&gt;"",1+MAX($A$1:A15),"")</f>
        <v>4</v>
      </c>
      <c r="B16" s="137" t="s">
        <v>135</v>
      </c>
      <c r="C16" s="137"/>
      <c r="D16" s="138"/>
      <c r="E16" s="139" t="s">
        <v>133</v>
      </c>
      <c r="F16" s="140">
        <f>3+1</f>
        <v>4</v>
      </c>
      <c r="G16" s="96">
        <v>0</v>
      </c>
      <c r="H16" s="141">
        <f t="shared" ref="H16" si="5">F16*(1+G16)</f>
        <v>4</v>
      </c>
      <c r="I16" s="142" t="s">
        <v>20</v>
      </c>
      <c r="J16" s="155">
        <v>0</v>
      </c>
      <c r="K16" s="97">
        <f t="shared" ref="K16" si="6">J16*H16</f>
        <v>0</v>
      </c>
      <c r="L16" s="144"/>
      <c r="M16" s="16"/>
      <c r="N16" s="16"/>
      <c r="O16" s="16"/>
      <c r="P16" s="16"/>
      <c r="Q16" s="16"/>
      <c r="R16" s="16"/>
      <c r="S16" s="16"/>
      <c r="T16" s="16"/>
      <c r="U16" s="16"/>
      <c r="V16" s="16"/>
      <c r="W16" s="16"/>
      <c r="X16" s="16"/>
      <c r="Y16" s="16"/>
      <c r="Z16" s="16"/>
      <c r="AA16" s="16"/>
      <c r="AB16" s="16"/>
      <c r="AC16" s="16"/>
      <c r="AD16" s="16"/>
      <c r="AE16" s="16"/>
      <c r="AF16" s="16"/>
      <c r="AG16" s="16"/>
      <c r="AH16" s="16"/>
      <c r="AI16" s="16"/>
      <c r="AJ16" s="16"/>
      <c r="AK16" s="16"/>
      <c r="AL16" s="16"/>
      <c r="AM16" s="16"/>
      <c r="AN16" s="16"/>
      <c r="AO16" s="16"/>
      <c r="AP16" s="16"/>
      <c r="AQ16" s="16"/>
      <c r="AR16" s="16"/>
      <c r="AS16" s="16"/>
      <c r="AT16" s="16"/>
      <c r="AU16" s="16"/>
      <c r="AV16" s="16"/>
      <c r="AW16" s="16"/>
      <c r="AX16" s="16"/>
      <c r="AY16" s="16"/>
      <c r="AZ16" s="16"/>
      <c r="BA16" s="16"/>
      <c r="BB16" s="16"/>
      <c r="BC16" s="16"/>
      <c r="BD16" s="16"/>
      <c r="BE16" s="16"/>
      <c r="BF16" s="16"/>
      <c r="BG16" s="16"/>
      <c r="BH16" s="16"/>
      <c r="BI16" s="16"/>
      <c r="BJ16" s="16"/>
      <c r="BK16" s="16"/>
      <c r="BL16" s="16"/>
      <c r="BM16" s="16"/>
      <c r="BN16" s="16"/>
      <c r="BO16" s="16"/>
      <c r="BP16" s="16"/>
      <c r="BQ16" s="16"/>
      <c r="BR16" s="16"/>
      <c r="BS16" s="16"/>
      <c r="BT16" s="16"/>
      <c r="BU16" s="16"/>
      <c r="BV16" s="16"/>
    </row>
    <row r="17" spans="1:74" s="15" customFormat="1" ht="18.75" x14ac:dyDescent="0.2">
      <c r="A17" s="136">
        <f>IF(F17&lt;&gt;"",1+MAX($A$1:A16),"")</f>
        <v>5</v>
      </c>
      <c r="B17" s="137" t="s">
        <v>135</v>
      </c>
      <c r="C17" s="137"/>
      <c r="D17" s="138"/>
      <c r="E17" s="139" t="s">
        <v>122</v>
      </c>
      <c r="F17" s="140">
        <v>3</v>
      </c>
      <c r="G17" s="96">
        <v>0</v>
      </c>
      <c r="H17" s="141">
        <f t="shared" ref="H17" si="7">F17*(1+G17)</f>
        <v>3</v>
      </c>
      <c r="I17" s="142" t="s">
        <v>20</v>
      </c>
      <c r="J17" s="155">
        <v>0</v>
      </c>
      <c r="K17" s="97">
        <f t="shared" ref="K17" si="8">J17*H17</f>
        <v>0</v>
      </c>
      <c r="L17" s="144"/>
      <c r="M17" s="16"/>
      <c r="N17" s="16"/>
      <c r="O17" s="16"/>
      <c r="P17" s="16"/>
      <c r="Q17" s="16"/>
      <c r="R17" s="16"/>
      <c r="S17" s="16"/>
      <c r="T17" s="16"/>
      <c r="U17" s="16"/>
      <c r="V17" s="16"/>
      <c r="W17" s="16"/>
      <c r="X17" s="16"/>
      <c r="Y17" s="16"/>
      <c r="Z17" s="16"/>
      <c r="AA17" s="16"/>
      <c r="AB17" s="16"/>
      <c r="AC17" s="16"/>
      <c r="AD17" s="16"/>
      <c r="AE17" s="16"/>
      <c r="AF17" s="16"/>
      <c r="AG17" s="16"/>
      <c r="AH17" s="16"/>
      <c r="AI17" s="16"/>
      <c r="AJ17" s="16"/>
      <c r="AK17" s="16"/>
      <c r="AL17" s="16"/>
      <c r="AM17" s="16"/>
      <c r="AN17" s="16"/>
      <c r="AO17" s="16"/>
      <c r="AP17" s="16"/>
      <c r="AQ17" s="16"/>
      <c r="AR17" s="16"/>
      <c r="AS17" s="16"/>
      <c r="AT17" s="16"/>
      <c r="AU17" s="16"/>
      <c r="AV17" s="16"/>
      <c r="AW17" s="16"/>
      <c r="AX17" s="16"/>
      <c r="AY17" s="16"/>
      <c r="AZ17" s="16"/>
      <c r="BA17" s="16"/>
      <c r="BB17" s="16"/>
      <c r="BC17" s="16"/>
      <c r="BD17" s="16"/>
      <c r="BE17" s="16"/>
      <c r="BF17" s="16"/>
      <c r="BG17" s="16"/>
      <c r="BH17" s="16"/>
      <c r="BI17" s="16"/>
      <c r="BJ17" s="16"/>
      <c r="BK17" s="16"/>
      <c r="BL17" s="16"/>
      <c r="BM17" s="16"/>
      <c r="BN17" s="16"/>
      <c r="BO17" s="16"/>
      <c r="BP17" s="16"/>
      <c r="BQ17" s="16"/>
      <c r="BR17" s="16"/>
      <c r="BS17" s="16"/>
      <c r="BT17" s="16"/>
      <c r="BU17" s="16"/>
      <c r="BV17" s="16"/>
    </row>
    <row r="18" spans="1:74" s="15" customFormat="1" ht="18.75" x14ac:dyDescent="0.2">
      <c r="A18" s="136">
        <f>IF(F18&lt;&gt;"",1+MAX($A$1:A17),"")</f>
        <v>6</v>
      </c>
      <c r="B18" s="137" t="s">
        <v>135</v>
      </c>
      <c r="C18" s="137"/>
      <c r="D18" s="138"/>
      <c r="E18" s="139" t="s">
        <v>78</v>
      </c>
      <c r="F18" s="140">
        <f>774.8</f>
        <v>774.8</v>
      </c>
      <c r="G18" s="96">
        <v>0</v>
      </c>
      <c r="H18" s="141">
        <f t="shared" ref="H18" si="9">F18*(1+G18)</f>
        <v>774.8</v>
      </c>
      <c r="I18" s="142" t="s">
        <v>18</v>
      </c>
      <c r="J18" s="155">
        <v>0</v>
      </c>
      <c r="K18" s="97">
        <f t="shared" ref="K18" si="10">J18*H18</f>
        <v>0</v>
      </c>
      <c r="L18" s="144"/>
      <c r="M18" s="16"/>
      <c r="N18" s="16"/>
      <c r="O18" s="16"/>
      <c r="P18" s="16"/>
      <c r="Q18" s="16"/>
      <c r="R18" s="16"/>
      <c r="S18" s="16"/>
      <c r="T18" s="16"/>
      <c r="U18" s="16"/>
      <c r="V18" s="16"/>
      <c r="W18" s="16"/>
      <c r="X18" s="16"/>
      <c r="Y18" s="16"/>
      <c r="Z18" s="16"/>
      <c r="AA18" s="16"/>
      <c r="AB18" s="16"/>
      <c r="AC18" s="16"/>
      <c r="AD18" s="16"/>
      <c r="AE18" s="16"/>
      <c r="AF18" s="16"/>
      <c r="AG18" s="16"/>
      <c r="AH18" s="16"/>
      <c r="AI18" s="16"/>
      <c r="AJ18" s="16"/>
      <c r="AK18" s="16"/>
      <c r="AL18" s="16"/>
      <c r="AM18" s="16"/>
      <c r="AN18" s="16"/>
      <c r="AO18" s="16"/>
      <c r="AP18" s="16"/>
      <c r="AQ18" s="16"/>
      <c r="AR18" s="16"/>
      <c r="AS18" s="16"/>
      <c r="AT18" s="16"/>
      <c r="AU18" s="16"/>
      <c r="AV18" s="16"/>
      <c r="AW18" s="16"/>
      <c r="AX18" s="16"/>
      <c r="AY18" s="16"/>
      <c r="AZ18" s="16"/>
      <c r="BA18" s="16"/>
      <c r="BB18" s="16"/>
      <c r="BC18" s="16"/>
      <c r="BD18" s="16"/>
      <c r="BE18" s="16"/>
      <c r="BF18" s="16"/>
      <c r="BG18" s="16"/>
      <c r="BH18" s="16"/>
      <c r="BI18" s="16"/>
      <c r="BJ18" s="16"/>
      <c r="BK18" s="16"/>
      <c r="BL18" s="16"/>
      <c r="BM18" s="16"/>
      <c r="BN18" s="16"/>
      <c r="BO18" s="16"/>
      <c r="BP18" s="16"/>
      <c r="BQ18" s="16"/>
      <c r="BR18" s="16"/>
      <c r="BS18" s="16"/>
      <c r="BT18" s="16"/>
      <c r="BU18" s="16"/>
      <c r="BV18" s="16"/>
    </row>
    <row r="19" spans="1:74" s="15" customFormat="1" ht="18.75" x14ac:dyDescent="0.2">
      <c r="A19" s="136">
        <f>IF(F19&lt;&gt;"",1+MAX($A$1:A18),"")</f>
        <v>7</v>
      </c>
      <c r="B19" s="137" t="s">
        <v>135</v>
      </c>
      <c r="C19" s="137"/>
      <c r="D19" s="138"/>
      <c r="E19" s="139" t="s">
        <v>121</v>
      </c>
      <c r="F19" s="140">
        <f>772.6</f>
        <v>772.6</v>
      </c>
      <c r="G19" s="96">
        <v>0</v>
      </c>
      <c r="H19" s="141">
        <f t="shared" ref="H19" si="11">F19*(1+G19)</f>
        <v>772.6</v>
      </c>
      <c r="I19" s="142" t="s">
        <v>18</v>
      </c>
      <c r="J19" s="155">
        <v>0</v>
      </c>
      <c r="K19" s="97">
        <f t="shared" ref="K19" si="12">J19*H19</f>
        <v>0</v>
      </c>
      <c r="L19" s="144"/>
      <c r="M19" s="16"/>
      <c r="N19" s="16"/>
      <c r="O19" s="16"/>
      <c r="P19" s="16"/>
      <c r="Q19" s="16"/>
      <c r="R19" s="16"/>
      <c r="S19" s="16"/>
      <c r="T19" s="16"/>
      <c r="U19" s="16"/>
      <c r="V19" s="16"/>
      <c r="W19" s="16"/>
      <c r="X19" s="16"/>
      <c r="Y19" s="16"/>
      <c r="Z19" s="16"/>
      <c r="AA19" s="16"/>
      <c r="AB19" s="16"/>
      <c r="AC19" s="16"/>
      <c r="AD19" s="16"/>
      <c r="AE19" s="16"/>
      <c r="AF19" s="16"/>
      <c r="AG19" s="16"/>
      <c r="AH19" s="16"/>
      <c r="AI19" s="16"/>
      <c r="AJ19" s="16"/>
      <c r="AK19" s="16"/>
      <c r="AL19" s="16"/>
      <c r="AM19" s="16"/>
      <c r="AN19" s="16"/>
      <c r="AO19" s="16"/>
      <c r="AP19" s="16"/>
      <c r="AQ19" s="16"/>
      <c r="AR19" s="16"/>
      <c r="AS19" s="16"/>
      <c r="AT19" s="16"/>
      <c r="AU19" s="16"/>
      <c r="AV19" s="16"/>
      <c r="AW19" s="16"/>
      <c r="AX19" s="16"/>
      <c r="AY19" s="16"/>
      <c r="AZ19" s="16"/>
      <c r="BA19" s="16"/>
      <c r="BB19" s="16"/>
      <c r="BC19" s="16"/>
      <c r="BD19" s="16"/>
      <c r="BE19" s="16"/>
      <c r="BF19" s="16"/>
      <c r="BG19" s="16"/>
      <c r="BH19" s="16"/>
      <c r="BI19" s="16"/>
      <c r="BJ19" s="16"/>
      <c r="BK19" s="16"/>
      <c r="BL19" s="16"/>
      <c r="BM19" s="16"/>
      <c r="BN19" s="16"/>
      <c r="BO19" s="16"/>
      <c r="BP19" s="16"/>
      <c r="BQ19" s="16"/>
      <c r="BR19" s="16"/>
      <c r="BS19" s="16"/>
      <c r="BT19" s="16"/>
      <c r="BU19" s="16"/>
      <c r="BV19" s="16"/>
    </row>
    <row r="20" spans="1:74" s="15" customFormat="1" ht="18.75" x14ac:dyDescent="0.2">
      <c r="A20" s="136">
        <f>IF(F20&lt;&gt;"",1+MAX($A$1:A19),"")</f>
        <v>8</v>
      </c>
      <c r="B20" s="137" t="s">
        <v>135</v>
      </c>
      <c r="C20" s="137"/>
      <c r="D20" s="138"/>
      <c r="E20" s="139" t="s">
        <v>131</v>
      </c>
      <c r="F20" s="140">
        <f>2+1</f>
        <v>3</v>
      </c>
      <c r="G20" s="96">
        <v>0</v>
      </c>
      <c r="H20" s="141">
        <f t="shared" ref="H20" si="13">F20*(1+G20)</f>
        <v>3</v>
      </c>
      <c r="I20" s="142" t="s">
        <v>58</v>
      </c>
      <c r="J20" s="155">
        <v>0</v>
      </c>
      <c r="K20" s="97">
        <f t="shared" ref="K20" si="14">J20*H20</f>
        <v>0</v>
      </c>
      <c r="L20" s="144"/>
      <c r="M20" s="16"/>
      <c r="N20" s="16"/>
      <c r="O20" s="16"/>
      <c r="P20" s="16"/>
      <c r="Q20" s="16"/>
      <c r="R20" s="16"/>
      <c r="S20" s="16"/>
      <c r="T20" s="16"/>
      <c r="U20" s="16"/>
      <c r="V20" s="16"/>
      <c r="W20" s="16"/>
      <c r="X20" s="16"/>
      <c r="Y20" s="16"/>
      <c r="Z20" s="16"/>
      <c r="AA20" s="16"/>
      <c r="AB20" s="16"/>
      <c r="AC20" s="16"/>
      <c r="AD20" s="16"/>
      <c r="AE20" s="16"/>
      <c r="AF20" s="16"/>
      <c r="AG20" s="16"/>
      <c r="AH20" s="16"/>
      <c r="AI20" s="16"/>
      <c r="AJ20" s="16"/>
      <c r="AK20" s="16"/>
      <c r="AL20" s="16"/>
      <c r="AM20" s="16"/>
      <c r="AN20" s="16"/>
      <c r="AO20" s="16"/>
      <c r="AP20" s="16"/>
      <c r="AQ20" s="16"/>
      <c r="AR20" s="16"/>
      <c r="AS20" s="16"/>
      <c r="AT20" s="16"/>
      <c r="AU20" s="16"/>
      <c r="AV20" s="16"/>
      <c r="AW20" s="16"/>
      <c r="AX20" s="16"/>
      <c r="AY20" s="16"/>
      <c r="AZ20" s="16"/>
      <c r="BA20" s="16"/>
      <c r="BB20" s="16"/>
      <c r="BC20" s="16"/>
      <c r="BD20" s="16"/>
      <c r="BE20" s="16"/>
      <c r="BF20" s="16"/>
      <c r="BG20" s="16"/>
      <c r="BH20" s="16"/>
      <c r="BI20" s="16"/>
      <c r="BJ20" s="16"/>
      <c r="BK20" s="16"/>
      <c r="BL20" s="16"/>
      <c r="BM20" s="16"/>
      <c r="BN20" s="16"/>
      <c r="BO20" s="16"/>
      <c r="BP20" s="16"/>
      <c r="BQ20" s="16"/>
      <c r="BR20" s="16"/>
      <c r="BS20" s="16"/>
      <c r="BT20" s="16"/>
      <c r="BU20" s="16"/>
      <c r="BV20" s="16"/>
    </row>
    <row r="21" spans="1:74" s="15" customFormat="1" ht="18.75" x14ac:dyDescent="0.2">
      <c r="A21" s="136">
        <f>IF(F21&lt;&gt;"",1+MAX($A$1:A20),"")</f>
        <v>9</v>
      </c>
      <c r="B21" s="137" t="s">
        <v>135</v>
      </c>
      <c r="C21" s="137"/>
      <c r="D21" s="138"/>
      <c r="E21" s="139" t="s">
        <v>132</v>
      </c>
      <c r="F21" s="140">
        <v>1</v>
      </c>
      <c r="G21" s="96">
        <v>0</v>
      </c>
      <c r="H21" s="141">
        <f t="shared" ref="H21:H23" si="15">F21*(1+G21)</f>
        <v>1</v>
      </c>
      <c r="I21" s="142" t="s">
        <v>58</v>
      </c>
      <c r="J21" s="155">
        <v>0</v>
      </c>
      <c r="K21" s="97">
        <f t="shared" ref="K21" si="16">J21*H21</f>
        <v>0</v>
      </c>
      <c r="L21" s="144"/>
      <c r="M21" s="16"/>
      <c r="N21" s="16"/>
      <c r="O21" s="16"/>
      <c r="P21" s="16"/>
      <c r="Q21" s="16"/>
      <c r="R21" s="16"/>
      <c r="S21" s="16"/>
      <c r="T21" s="16"/>
      <c r="U21" s="16"/>
      <c r="V21" s="16"/>
      <c r="W21" s="16"/>
      <c r="X21" s="16"/>
      <c r="Y21" s="16"/>
      <c r="Z21" s="16"/>
      <c r="AA21" s="16"/>
      <c r="AB21" s="16"/>
      <c r="AC21" s="16"/>
      <c r="AD21" s="16"/>
      <c r="AE21" s="16"/>
      <c r="AF21" s="16"/>
      <c r="AG21" s="16"/>
      <c r="AH21" s="16"/>
      <c r="AI21" s="16"/>
      <c r="AJ21" s="16"/>
      <c r="AK21" s="16"/>
      <c r="AL21" s="16"/>
      <c r="AM21" s="16"/>
      <c r="AN21" s="16"/>
      <c r="AO21" s="16"/>
      <c r="AP21" s="16"/>
      <c r="AQ21" s="16"/>
      <c r="AR21" s="16"/>
      <c r="AS21" s="16"/>
      <c r="AT21" s="16"/>
      <c r="AU21" s="16"/>
      <c r="AV21" s="16"/>
      <c r="AW21" s="16"/>
      <c r="AX21" s="16"/>
      <c r="AY21" s="16"/>
      <c r="AZ21" s="16"/>
      <c r="BA21" s="16"/>
      <c r="BB21" s="16"/>
      <c r="BC21" s="16"/>
      <c r="BD21" s="16"/>
      <c r="BE21" s="16"/>
      <c r="BF21" s="16"/>
      <c r="BG21" s="16"/>
      <c r="BH21" s="16"/>
      <c r="BI21" s="16"/>
      <c r="BJ21" s="16"/>
      <c r="BK21" s="16"/>
      <c r="BL21" s="16"/>
      <c r="BM21" s="16"/>
      <c r="BN21" s="16"/>
      <c r="BO21" s="16"/>
      <c r="BP21" s="16"/>
      <c r="BQ21" s="16"/>
      <c r="BR21" s="16"/>
      <c r="BS21" s="16"/>
      <c r="BT21" s="16"/>
      <c r="BU21" s="16"/>
      <c r="BV21" s="16"/>
    </row>
    <row r="22" spans="1:74" s="15" customFormat="1" ht="31.5" x14ac:dyDescent="0.2">
      <c r="A22" s="136">
        <f>IF(F22&lt;&gt;"",1+MAX($A$1:A21),"")</f>
        <v>10</v>
      </c>
      <c r="B22" s="137" t="s">
        <v>186</v>
      </c>
      <c r="C22" s="137"/>
      <c r="D22" s="138"/>
      <c r="E22" s="139" t="s">
        <v>187</v>
      </c>
      <c r="F22" s="140">
        <v>475</v>
      </c>
      <c r="G22" s="96">
        <v>0</v>
      </c>
      <c r="H22" s="141">
        <f t="shared" si="15"/>
        <v>475</v>
      </c>
      <c r="I22" s="142" t="s">
        <v>18</v>
      </c>
      <c r="J22" s="155">
        <v>0</v>
      </c>
      <c r="K22" s="97">
        <f>J22*H22</f>
        <v>0</v>
      </c>
      <c r="L22" s="144"/>
      <c r="M22" s="16"/>
      <c r="N22" s="16"/>
      <c r="O22" s="16"/>
      <c r="P22" s="16"/>
      <c r="Q22" s="16"/>
      <c r="R22" s="16"/>
      <c r="S22" s="16"/>
      <c r="T22" s="16"/>
      <c r="U22" s="16"/>
      <c r="V22" s="16"/>
      <c r="W22" s="16"/>
      <c r="X22" s="16"/>
      <c r="Y22" s="16"/>
      <c r="Z22" s="16"/>
      <c r="AA22" s="16"/>
      <c r="AB22" s="16"/>
      <c r="AC22" s="16"/>
      <c r="AD22" s="16"/>
      <c r="AE22" s="16"/>
      <c r="AF22" s="16"/>
      <c r="AG22" s="16"/>
      <c r="AH22" s="16"/>
      <c r="AI22" s="16"/>
      <c r="AJ22" s="16"/>
      <c r="AK22" s="16"/>
      <c r="AL22" s="16"/>
      <c r="AM22" s="16"/>
      <c r="AN22" s="16"/>
      <c r="AO22" s="16"/>
      <c r="AP22" s="16"/>
      <c r="AQ22" s="16"/>
      <c r="AR22" s="16"/>
      <c r="AS22" s="16"/>
      <c r="AT22" s="16"/>
      <c r="AU22" s="16"/>
      <c r="AV22" s="16"/>
      <c r="AW22" s="16"/>
      <c r="AX22" s="16"/>
      <c r="AY22" s="16"/>
      <c r="AZ22" s="16"/>
      <c r="BA22" s="16"/>
      <c r="BB22" s="16"/>
      <c r="BC22" s="16"/>
      <c r="BD22" s="16"/>
      <c r="BE22" s="16"/>
      <c r="BF22" s="16"/>
      <c r="BG22" s="16"/>
      <c r="BH22" s="16"/>
      <c r="BI22" s="16"/>
      <c r="BJ22" s="16"/>
      <c r="BK22" s="16"/>
      <c r="BL22" s="16"/>
      <c r="BM22" s="16"/>
      <c r="BN22" s="16"/>
      <c r="BO22" s="16"/>
      <c r="BP22" s="16"/>
      <c r="BQ22" s="16"/>
      <c r="BR22" s="16"/>
      <c r="BS22" s="16"/>
      <c r="BT22" s="16"/>
      <c r="BU22" s="16"/>
      <c r="BV22" s="16"/>
    </row>
    <row r="23" spans="1:74" s="15" customFormat="1" ht="31.5" x14ac:dyDescent="0.2">
      <c r="A23" s="136">
        <f>IF(F23&lt;&gt;"",1+MAX($A$1:A22),"")</f>
        <v>11</v>
      </c>
      <c r="B23" s="137" t="s">
        <v>186</v>
      </c>
      <c r="C23" s="137"/>
      <c r="D23" s="138"/>
      <c r="E23" s="139" t="s">
        <v>188</v>
      </c>
      <c r="F23" s="140">
        <v>259</v>
      </c>
      <c r="G23" s="96">
        <v>0</v>
      </c>
      <c r="H23" s="141">
        <f t="shared" si="15"/>
        <v>259</v>
      </c>
      <c r="I23" s="142" t="s">
        <v>18</v>
      </c>
      <c r="J23" s="155">
        <v>0</v>
      </c>
      <c r="K23" s="97">
        <f>J23*H23</f>
        <v>0</v>
      </c>
      <c r="L23" s="144"/>
      <c r="M23" s="16"/>
      <c r="N23" s="16"/>
      <c r="O23" s="16"/>
      <c r="P23" s="16"/>
      <c r="Q23" s="16"/>
      <c r="R23" s="16"/>
      <c r="S23" s="16"/>
      <c r="T23" s="16"/>
      <c r="U23" s="16"/>
      <c r="V23" s="16"/>
      <c r="W23" s="16"/>
      <c r="X23" s="16"/>
      <c r="Y23" s="16"/>
      <c r="Z23" s="16"/>
      <c r="AA23" s="16"/>
      <c r="AB23" s="16"/>
      <c r="AC23" s="16"/>
      <c r="AD23" s="16"/>
      <c r="AE23" s="16"/>
      <c r="AF23" s="16"/>
      <c r="AG23" s="16"/>
      <c r="AH23" s="16"/>
      <c r="AI23" s="16"/>
      <c r="AJ23" s="16"/>
      <c r="AK23" s="16"/>
      <c r="AL23" s="16"/>
      <c r="AM23" s="16"/>
      <c r="AN23" s="16"/>
      <c r="AO23" s="16"/>
      <c r="AP23" s="16"/>
      <c r="AQ23" s="16"/>
      <c r="AR23" s="16"/>
      <c r="AS23" s="16"/>
      <c r="AT23" s="16"/>
      <c r="AU23" s="16"/>
      <c r="AV23" s="16"/>
      <c r="AW23" s="16"/>
      <c r="AX23" s="16"/>
      <c r="AY23" s="16"/>
      <c r="AZ23" s="16"/>
      <c r="BA23" s="16"/>
      <c r="BB23" s="16"/>
      <c r="BC23" s="16"/>
      <c r="BD23" s="16"/>
      <c r="BE23" s="16"/>
      <c r="BF23" s="16"/>
      <c r="BG23" s="16"/>
      <c r="BH23" s="16"/>
      <c r="BI23" s="16"/>
      <c r="BJ23" s="16"/>
      <c r="BK23" s="16"/>
      <c r="BL23" s="16"/>
      <c r="BM23" s="16"/>
      <c r="BN23" s="16"/>
      <c r="BO23" s="16"/>
      <c r="BP23" s="16"/>
      <c r="BQ23" s="16"/>
      <c r="BR23" s="16"/>
      <c r="BS23" s="16"/>
      <c r="BT23" s="16"/>
      <c r="BU23" s="16"/>
      <c r="BV23" s="16"/>
    </row>
    <row r="24" spans="1:74" x14ac:dyDescent="0.2">
      <c r="A24" s="136" t="str">
        <f>IF(F24&lt;&gt;"",1+MAX($A$1:A23),"")</f>
        <v/>
      </c>
      <c r="B24" s="145"/>
      <c r="C24" s="145"/>
      <c r="D24" s="146"/>
      <c r="E24" s="159"/>
      <c r="F24" s="148"/>
      <c r="G24" s="149"/>
      <c r="H24" s="148"/>
      <c r="I24" s="150"/>
      <c r="J24" s="163"/>
      <c r="K24" s="152"/>
      <c r="L24" s="153"/>
    </row>
    <row r="25" spans="1:74" x14ac:dyDescent="0.2">
      <c r="A25" s="136" t="str">
        <f>IF(F25&lt;&gt;"",1+MAX($A$1:A24),"")</f>
        <v/>
      </c>
      <c r="B25" s="145"/>
      <c r="C25" s="145"/>
      <c r="D25" s="146"/>
      <c r="E25" s="147" t="s">
        <v>76</v>
      </c>
      <c r="F25" s="154"/>
      <c r="G25" s="149"/>
      <c r="H25" s="148"/>
      <c r="I25" s="150"/>
      <c r="J25" s="163"/>
      <c r="K25" s="123"/>
      <c r="L25" s="12">
        <f>SUM(K13:K24)</f>
        <v>0</v>
      </c>
    </row>
    <row r="26" spans="1:74" s="16" customFormat="1" ht="18.75" x14ac:dyDescent="0.2">
      <c r="A26" s="136" t="str">
        <f>IF(F26&lt;&gt;"",1+MAX($A$1:A25),"")</f>
        <v/>
      </c>
      <c r="B26" s="137"/>
      <c r="C26" s="137"/>
      <c r="D26" s="138"/>
      <c r="E26" s="139"/>
      <c r="F26" s="140"/>
      <c r="G26" s="96"/>
      <c r="H26" s="141"/>
      <c r="I26" s="142"/>
      <c r="J26" s="155"/>
      <c r="K26" s="97"/>
      <c r="L26" s="144"/>
    </row>
    <row r="27" spans="1:74" x14ac:dyDescent="0.2">
      <c r="A27" s="136" t="str">
        <f>IF(F27&lt;&gt;"",1+MAX($A$1:A26),"")</f>
        <v/>
      </c>
      <c r="B27" s="145"/>
      <c r="C27" s="145"/>
      <c r="D27" s="145"/>
      <c r="E27" s="161" t="s">
        <v>189</v>
      </c>
      <c r="F27" s="154"/>
      <c r="G27" s="149"/>
      <c r="H27" s="148"/>
      <c r="I27" s="150"/>
      <c r="J27" s="21"/>
      <c r="K27" s="162"/>
      <c r="L27" s="160"/>
    </row>
    <row r="28" spans="1:74" s="15" customFormat="1" ht="47.25" x14ac:dyDescent="0.2">
      <c r="A28" s="136">
        <f>IF(F28&lt;&gt;"",1+MAX($A$1:A27),"")</f>
        <v>12</v>
      </c>
      <c r="B28" s="137" t="s">
        <v>186</v>
      </c>
      <c r="C28" s="137" t="s">
        <v>190</v>
      </c>
      <c r="D28" s="138"/>
      <c r="E28" s="139" t="s">
        <v>191</v>
      </c>
      <c r="F28" s="140">
        <f>475*7/27</f>
        <v>123.14814814814815</v>
      </c>
      <c r="G28" s="96">
        <v>7.0000000000000007E-2</v>
      </c>
      <c r="H28" s="141">
        <f t="shared" ref="H28:H29" si="17">F28*(1+G28)</f>
        <v>131.76851851851853</v>
      </c>
      <c r="I28" s="142" t="s">
        <v>108</v>
      </c>
      <c r="J28" s="155">
        <v>0</v>
      </c>
      <c r="K28" s="97">
        <f>J28*H28</f>
        <v>0</v>
      </c>
      <c r="L28" s="144"/>
      <c r="M28" s="16"/>
      <c r="N28" s="16"/>
      <c r="O28" s="16"/>
      <c r="P28" s="16"/>
      <c r="Q28" s="16"/>
      <c r="R28" s="16"/>
      <c r="S28" s="16"/>
      <c r="T28" s="16"/>
      <c r="U28" s="16"/>
      <c r="V28" s="16"/>
      <c r="W28" s="16"/>
      <c r="X28" s="16"/>
      <c r="Y28" s="16"/>
      <c r="Z28" s="16"/>
      <c r="AA28" s="16"/>
      <c r="AB28" s="16"/>
      <c r="AC28" s="16"/>
      <c r="AD28" s="16"/>
      <c r="AE28" s="16"/>
      <c r="AF28" s="16"/>
      <c r="AG28" s="16"/>
      <c r="AH28" s="16"/>
      <c r="AI28" s="16"/>
      <c r="AJ28" s="16"/>
      <c r="AK28" s="16"/>
      <c r="AL28" s="16"/>
      <c r="AM28" s="16"/>
      <c r="AN28" s="16"/>
      <c r="AO28" s="16"/>
      <c r="AP28" s="16"/>
      <c r="AQ28" s="16"/>
      <c r="AR28" s="16"/>
      <c r="AS28" s="16"/>
      <c r="AT28" s="16"/>
      <c r="AU28" s="16"/>
      <c r="AV28" s="16"/>
      <c r="AW28" s="16"/>
      <c r="AX28" s="16"/>
      <c r="AY28" s="16"/>
      <c r="AZ28" s="16"/>
      <c r="BA28" s="16"/>
      <c r="BB28" s="16"/>
      <c r="BC28" s="16"/>
      <c r="BD28" s="16"/>
      <c r="BE28" s="16"/>
      <c r="BF28" s="16"/>
      <c r="BG28" s="16"/>
      <c r="BH28" s="16"/>
      <c r="BI28" s="16"/>
      <c r="BJ28" s="16"/>
      <c r="BK28" s="16"/>
      <c r="BL28" s="16"/>
      <c r="BM28" s="16"/>
      <c r="BN28" s="16"/>
      <c r="BO28" s="16"/>
      <c r="BP28" s="16"/>
      <c r="BQ28" s="16"/>
      <c r="BR28" s="16"/>
      <c r="BS28" s="16"/>
      <c r="BT28" s="16"/>
      <c r="BU28" s="16"/>
      <c r="BV28" s="16"/>
    </row>
    <row r="29" spans="1:74" s="15" customFormat="1" ht="47.25" x14ac:dyDescent="0.2">
      <c r="A29" s="136">
        <f>IF(F29&lt;&gt;"",1+MAX($A$1:A28),"")</f>
        <v>13</v>
      </c>
      <c r="B29" s="137" t="s">
        <v>186</v>
      </c>
      <c r="C29" s="137" t="s">
        <v>190</v>
      </c>
      <c r="D29" s="138"/>
      <c r="E29" s="139" t="s">
        <v>192</v>
      </c>
      <c r="F29" s="140">
        <f>259*2/27</f>
        <v>19.185185185185187</v>
      </c>
      <c r="G29" s="96">
        <v>7.0000000000000007E-2</v>
      </c>
      <c r="H29" s="141">
        <f t="shared" si="17"/>
        <v>20.528148148148151</v>
      </c>
      <c r="I29" s="142" t="s">
        <v>108</v>
      </c>
      <c r="J29" s="155">
        <f>J$28</f>
        <v>0</v>
      </c>
      <c r="K29" s="97">
        <f>J29*H29</f>
        <v>0</v>
      </c>
      <c r="L29" s="144"/>
      <c r="M29" s="16"/>
      <c r="N29" s="16"/>
      <c r="O29" s="16"/>
      <c r="P29" s="16"/>
      <c r="Q29" s="16"/>
      <c r="R29" s="16"/>
      <c r="S29" s="16"/>
      <c r="T29" s="16"/>
      <c r="U29" s="16"/>
      <c r="V29" s="16"/>
      <c r="W29" s="16"/>
      <c r="X29" s="16"/>
      <c r="Y29" s="16"/>
      <c r="Z29" s="16"/>
      <c r="AA29" s="16"/>
      <c r="AB29" s="16"/>
      <c r="AC29" s="16"/>
      <c r="AD29" s="16"/>
      <c r="AE29" s="16"/>
      <c r="AF29" s="16"/>
      <c r="AG29" s="16"/>
      <c r="AH29" s="16"/>
      <c r="AI29" s="16"/>
      <c r="AJ29" s="16"/>
      <c r="AK29" s="16"/>
      <c r="AL29" s="16"/>
      <c r="AM29" s="16"/>
      <c r="AN29" s="16"/>
      <c r="AO29" s="16"/>
      <c r="AP29" s="16"/>
      <c r="AQ29" s="16"/>
      <c r="AR29" s="16"/>
      <c r="AS29" s="16"/>
      <c r="AT29" s="16"/>
      <c r="AU29" s="16"/>
      <c r="AV29" s="16"/>
      <c r="AW29" s="16"/>
      <c r="AX29" s="16"/>
      <c r="AY29" s="16"/>
      <c r="AZ29" s="16"/>
      <c r="BA29" s="16"/>
      <c r="BB29" s="16"/>
      <c r="BC29" s="16"/>
      <c r="BD29" s="16"/>
      <c r="BE29" s="16"/>
      <c r="BF29" s="16"/>
      <c r="BG29" s="16"/>
      <c r="BH29" s="16"/>
      <c r="BI29" s="16"/>
      <c r="BJ29" s="16"/>
      <c r="BK29" s="16"/>
      <c r="BL29" s="16"/>
      <c r="BM29" s="16"/>
      <c r="BN29" s="16"/>
      <c r="BO29" s="16"/>
      <c r="BP29" s="16"/>
      <c r="BQ29" s="16"/>
      <c r="BR29" s="16"/>
      <c r="BS29" s="16"/>
      <c r="BT29" s="16"/>
      <c r="BU29" s="16"/>
      <c r="BV29" s="16"/>
    </row>
    <row r="30" spans="1:74" x14ac:dyDescent="0.2">
      <c r="A30" s="136" t="str">
        <f>IF(F30&lt;&gt;"",1+MAX($A$1:A29),"")</f>
        <v/>
      </c>
      <c r="B30" s="145"/>
      <c r="C30" s="145"/>
      <c r="D30" s="146"/>
      <c r="E30" s="147"/>
      <c r="F30" s="148"/>
      <c r="G30" s="149"/>
      <c r="H30" s="148"/>
      <c r="I30" s="150"/>
      <c r="J30" s="151"/>
      <c r="K30" s="152"/>
      <c r="L30" s="153"/>
    </row>
    <row r="31" spans="1:74" x14ac:dyDescent="0.2">
      <c r="A31" s="136" t="str">
        <f>IF(F31&lt;&gt;"",1+MAX($A$1:A30),"")</f>
        <v/>
      </c>
      <c r="B31" s="145"/>
      <c r="C31" s="145"/>
      <c r="D31" s="146"/>
      <c r="E31" s="147" t="s">
        <v>223</v>
      </c>
      <c r="F31" s="154"/>
      <c r="G31" s="149"/>
      <c r="H31" s="148"/>
      <c r="I31" s="150"/>
      <c r="J31" s="151"/>
      <c r="K31" s="123"/>
      <c r="L31" s="12">
        <f>SUM(K27:K30)</f>
        <v>0</v>
      </c>
    </row>
    <row r="32" spans="1:74" s="16" customFormat="1" ht="18.75" x14ac:dyDescent="0.2">
      <c r="A32" s="136" t="str">
        <f>IF(F32&lt;&gt;"",1+MAX($A$1:A31),"")</f>
        <v/>
      </c>
      <c r="B32" s="137"/>
      <c r="C32" s="137"/>
      <c r="D32" s="138"/>
      <c r="E32" s="139"/>
      <c r="F32" s="140"/>
      <c r="G32" s="96"/>
      <c r="H32" s="141"/>
      <c r="I32" s="142"/>
      <c r="J32" s="155"/>
      <c r="K32" s="97"/>
      <c r="L32" s="144"/>
    </row>
    <row r="33" spans="1:74" s="7" customFormat="1" x14ac:dyDescent="0.2">
      <c r="A33" s="136" t="str">
        <f>IF(F33&lt;&gt;"",1+MAX($A$1:A32),"")</f>
        <v/>
      </c>
      <c r="B33" s="156"/>
      <c r="C33" s="157"/>
      <c r="D33" s="157" t="s">
        <v>72</v>
      </c>
      <c r="E33" s="158" t="s">
        <v>107</v>
      </c>
      <c r="F33" s="154"/>
      <c r="G33" s="159"/>
      <c r="H33" s="159"/>
      <c r="I33" s="159"/>
      <c r="J33" s="122"/>
      <c r="K33" s="159"/>
      <c r="L33" s="160"/>
      <c r="M33" s="93"/>
      <c r="N33" s="93"/>
      <c r="O33" s="93"/>
      <c r="P33" s="93"/>
      <c r="Q33" s="93"/>
      <c r="R33" s="93"/>
      <c r="S33" s="93"/>
      <c r="T33" s="93"/>
      <c r="U33" s="93"/>
      <c r="V33" s="93"/>
      <c r="W33" s="93"/>
      <c r="X33" s="93"/>
      <c r="Y33" s="93"/>
      <c r="Z33" s="93"/>
      <c r="AA33" s="93"/>
      <c r="AB33" s="93"/>
      <c r="AC33" s="93"/>
      <c r="AD33" s="93"/>
      <c r="AE33" s="93"/>
      <c r="AF33" s="93"/>
      <c r="AG33" s="93"/>
      <c r="AH33" s="93"/>
      <c r="AI33" s="93"/>
      <c r="AJ33" s="93"/>
      <c r="AK33" s="93"/>
      <c r="AL33" s="93"/>
      <c r="AM33" s="93"/>
      <c r="AN33" s="93"/>
      <c r="AO33" s="93"/>
      <c r="AP33" s="93"/>
      <c r="AQ33" s="93"/>
      <c r="AR33" s="93"/>
      <c r="AS33" s="93"/>
      <c r="AT33" s="93"/>
      <c r="AU33" s="93"/>
      <c r="AV33" s="93"/>
      <c r="AW33" s="93"/>
      <c r="AX33" s="93"/>
      <c r="AY33" s="93"/>
      <c r="AZ33" s="93"/>
      <c r="BA33" s="93"/>
      <c r="BB33" s="93"/>
      <c r="BC33" s="93"/>
      <c r="BD33" s="93"/>
      <c r="BE33" s="93"/>
      <c r="BF33" s="93"/>
      <c r="BG33" s="93"/>
      <c r="BH33" s="93"/>
      <c r="BI33" s="93"/>
      <c r="BJ33" s="93"/>
      <c r="BK33" s="93"/>
      <c r="BL33" s="93"/>
      <c r="BM33" s="93"/>
      <c r="BN33" s="93"/>
      <c r="BO33" s="93"/>
      <c r="BP33" s="93"/>
      <c r="BQ33" s="93"/>
      <c r="BR33" s="93"/>
      <c r="BS33" s="93"/>
      <c r="BT33" s="93"/>
      <c r="BU33" s="93"/>
      <c r="BV33" s="93"/>
    </row>
    <row r="34" spans="1:74" x14ac:dyDescent="0.2">
      <c r="A34" s="136" t="str">
        <f>IF(F34&lt;&gt;"",1+MAX($A$1:A33),"")</f>
        <v/>
      </c>
      <c r="B34" s="145"/>
      <c r="C34" s="145"/>
      <c r="D34" s="145"/>
      <c r="E34" s="161" t="s">
        <v>193</v>
      </c>
      <c r="F34" s="154"/>
      <c r="G34" s="149"/>
      <c r="H34" s="148"/>
      <c r="I34" s="150"/>
      <c r="J34" s="21"/>
      <c r="K34" s="162"/>
      <c r="L34" s="160"/>
    </row>
    <row r="35" spans="1:74" s="15" customFormat="1" ht="63" x14ac:dyDescent="0.2">
      <c r="A35" s="136" t="str">
        <f>IF(F35&lt;&gt;"",1+MAX($A$1:A34),"")</f>
        <v/>
      </c>
      <c r="B35" s="145"/>
      <c r="C35" s="137"/>
      <c r="D35" s="138"/>
      <c r="E35" s="164" t="s">
        <v>194</v>
      </c>
      <c r="F35" s="140"/>
      <c r="G35" s="96"/>
      <c r="H35" s="141"/>
      <c r="I35" s="150"/>
      <c r="J35" s="21"/>
      <c r="K35" s="97"/>
      <c r="L35" s="144"/>
      <c r="M35" s="16"/>
      <c r="N35" s="16"/>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c r="BD35" s="16"/>
      <c r="BE35" s="16"/>
      <c r="BF35" s="16"/>
      <c r="BG35" s="16"/>
      <c r="BH35" s="16"/>
      <c r="BI35" s="16"/>
      <c r="BJ35" s="16"/>
      <c r="BK35" s="16"/>
      <c r="BL35" s="16"/>
      <c r="BM35" s="16"/>
      <c r="BN35" s="16"/>
      <c r="BO35" s="16"/>
      <c r="BP35" s="16"/>
      <c r="BQ35" s="16"/>
      <c r="BR35" s="16"/>
      <c r="BS35" s="16"/>
      <c r="BT35" s="16"/>
      <c r="BU35" s="16"/>
      <c r="BV35" s="16"/>
    </row>
    <row r="36" spans="1:74" s="15" customFormat="1" ht="18.75" x14ac:dyDescent="0.2">
      <c r="A36" s="136">
        <f>IF(F36&lt;&gt;"",1+MAX($A$1:A35),"")</f>
        <v>14</v>
      </c>
      <c r="B36" s="137" t="s">
        <v>186</v>
      </c>
      <c r="C36" s="137" t="s">
        <v>190</v>
      </c>
      <c r="D36" s="138"/>
      <c r="E36" s="139" t="s">
        <v>195</v>
      </c>
      <c r="F36" s="165">
        <f>2.334*1.5*1/27</f>
        <v>0.12966666666666668</v>
      </c>
      <c r="G36" s="96">
        <v>7.0000000000000007E-2</v>
      </c>
      <c r="H36" s="166">
        <f t="shared" ref="H36:H40" si="18">F36*(1+G36)</f>
        <v>0.13874333333333336</v>
      </c>
      <c r="I36" s="142" t="s">
        <v>108</v>
      </c>
      <c r="J36" s="155">
        <v>0</v>
      </c>
      <c r="K36" s="97">
        <f t="shared" ref="K36:K40" si="19">J36*H36</f>
        <v>0</v>
      </c>
      <c r="L36" s="144"/>
      <c r="M36" s="16"/>
      <c r="N36" s="16"/>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c r="BD36" s="16"/>
      <c r="BE36" s="16"/>
      <c r="BF36" s="16"/>
      <c r="BG36" s="16"/>
      <c r="BH36" s="16"/>
      <c r="BI36" s="16"/>
      <c r="BJ36" s="16"/>
      <c r="BK36" s="16"/>
      <c r="BL36" s="16"/>
      <c r="BM36" s="16"/>
      <c r="BN36" s="16"/>
      <c r="BO36" s="16"/>
      <c r="BP36" s="16"/>
      <c r="BQ36" s="16"/>
      <c r="BR36" s="16"/>
      <c r="BS36" s="16"/>
      <c r="BT36" s="16"/>
      <c r="BU36" s="16"/>
      <c r="BV36" s="16"/>
    </row>
    <row r="37" spans="1:74" s="15" customFormat="1" ht="18.75" x14ac:dyDescent="0.2">
      <c r="A37" s="136">
        <f>IF(F37&lt;&gt;"",1+MAX($A$1:A36),"")</f>
        <v>15</v>
      </c>
      <c r="B37" s="137" t="s">
        <v>186</v>
      </c>
      <c r="C37" s="137" t="s">
        <v>190</v>
      </c>
      <c r="D37" s="138"/>
      <c r="E37" s="139" t="s">
        <v>196</v>
      </c>
      <c r="F37" s="140">
        <f>2*2.334*0.668*1.2</f>
        <v>3.7418687999999998</v>
      </c>
      <c r="G37" s="96">
        <v>7.0000000000000007E-2</v>
      </c>
      <c r="H37" s="141">
        <f t="shared" si="18"/>
        <v>4.0037996160000002</v>
      </c>
      <c r="I37" s="142" t="s">
        <v>109</v>
      </c>
      <c r="J37" s="155">
        <v>0</v>
      </c>
      <c r="K37" s="97">
        <f t="shared" si="19"/>
        <v>0</v>
      </c>
      <c r="L37" s="144"/>
      <c r="M37" s="16"/>
      <c r="N37" s="16"/>
      <c r="O37" s="16"/>
      <c r="P37" s="16"/>
      <c r="Q37" s="16"/>
      <c r="R37" s="16"/>
      <c r="S37" s="16"/>
      <c r="T37" s="16"/>
      <c r="U37" s="16"/>
      <c r="V37" s="16"/>
      <c r="W37" s="16"/>
      <c r="X37" s="16"/>
      <c r="Y37" s="16"/>
      <c r="Z37" s="16"/>
      <c r="AA37" s="16"/>
      <c r="AB37" s="16"/>
      <c r="AC37" s="16"/>
      <c r="AD37" s="16"/>
      <c r="AE37" s="16"/>
      <c r="AF37" s="16"/>
      <c r="AG37" s="16"/>
      <c r="AH37" s="16"/>
      <c r="AI37" s="16"/>
      <c r="AJ37" s="16"/>
      <c r="AK37" s="16"/>
      <c r="AL37" s="16"/>
      <c r="AM37" s="16"/>
      <c r="AN37" s="16"/>
      <c r="AO37" s="16"/>
      <c r="AP37" s="16"/>
      <c r="AQ37" s="16"/>
      <c r="AR37" s="16"/>
      <c r="AS37" s="16"/>
      <c r="AT37" s="16"/>
      <c r="AU37" s="16"/>
      <c r="AV37" s="16"/>
      <c r="AW37" s="16"/>
      <c r="AX37" s="16"/>
      <c r="AY37" s="16"/>
      <c r="AZ37" s="16"/>
      <c r="BA37" s="16"/>
      <c r="BB37" s="16"/>
      <c r="BC37" s="16"/>
      <c r="BD37" s="16"/>
      <c r="BE37" s="16"/>
      <c r="BF37" s="16"/>
      <c r="BG37" s="16"/>
      <c r="BH37" s="16"/>
      <c r="BI37" s="16"/>
      <c r="BJ37" s="16"/>
      <c r="BK37" s="16"/>
      <c r="BL37" s="16"/>
      <c r="BM37" s="16"/>
      <c r="BN37" s="16"/>
      <c r="BO37" s="16"/>
      <c r="BP37" s="16"/>
      <c r="BQ37" s="16"/>
      <c r="BR37" s="16"/>
      <c r="BS37" s="16"/>
      <c r="BT37" s="16"/>
      <c r="BU37" s="16"/>
      <c r="BV37" s="16"/>
    </row>
    <row r="38" spans="1:74" s="15" customFormat="1" ht="18.75" x14ac:dyDescent="0.2">
      <c r="A38" s="136">
        <f>IF(F38&lt;&gt;"",1+MAX($A$1:A37),"")</f>
        <v>16</v>
      </c>
      <c r="B38" s="137" t="s">
        <v>186</v>
      </c>
      <c r="C38" s="137" t="s">
        <v>190</v>
      </c>
      <c r="D38" s="138"/>
      <c r="E38" s="139" t="s">
        <v>197</v>
      </c>
      <c r="F38" s="140">
        <f>((2.334*12/24)+1)*1.5*0.668*1.2</f>
        <v>2.6056007999999999</v>
      </c>
      <c r="G38" s="96">
        <v>7.0000000000000007E-2</v>
      </c>
      <c r="H38" s="141">
        <f t="shared" si="18"/>
        <v>2.7879928560000002</v>
      </c>
      <c r="I38" s="142" t="s">
        <v>109</v>
      </c>
      <c r="J38" s="155">
        <f>J$37</f>
        <v>0</v>
      </c>
      <c r="K38" s="97">
        <f t="shared" si="19"/>
        <v>0</v>
      </c>
      <c r="L38" s="144"/>
      <c r="M38" s="16"/>
      <c r="N38" s="16"/>
      <c r="O38" s="16"/>
      <c r="P38" s="16"/>
      <c r="Q38" s="16"/>
      <c r="R38" s="16"/>
      <c r="S38" s="16"/>
      <c r="T38" s="16"/>
      <c r="U38" s="16"/>
      <c r="V38" s="16"/>
      <c r="W38" s="16"/>
      <c r="X38" s="16"/>
      <c r="Y38" s="16"/>
      <c r="Z38" s="16"/>
      <c r="AA38" s="16"/>
      <c r="AB38" s="16"/>
      <c r="AC38" s="16"/>
      <c r="AD38" s="16"/>
      <c r="AE38" s="16"/>
      <c r="AF38" s="16"/>
      <c r="AG38" s="16"/>
      <c r="AH38" s="16"/>
      <c r="AI38" s="16"/>
      <c r="AJ38" s="16"/>
      <c r="AK38" s="16"/>
      <c r="AL38" s="16"/>
      <c r="AM38" s="16"/>
      <c r="AN38" s="16"/>
      <c r="AO38" s="16"/>
      <c r="AP38" s="16"/>
      <c r="AQ38" s="16"/>
      <c r="AR38" s="16"/>
      <c r="AS38" s="16"/>
      <c r="AT38" s="16"/>
      <c r="AU38" s="16"/>
      <c r="AV38" s="16"/>
      <c r="AW38" s="16"/>
      <c r="AX38" s="16"/>
      <c r="AY38" s="16"/>
      <c r="AZ38" s="16"/>
      <c r="BA38" s="16"/>
      <c r="BB38" s="16"/>
      <c r="BC38" s="16"/>
      <c r="BD38" s="16"/>
      <c r="BE38" s="16"/>
      <c r="BF38" s="16"/>
      <c r="BG38" s="16"/>
      <c r="BH38" s="16"/>
      <c r="BI38" s="16"/>
      <c r="BJ38" s="16"/>
      <c r="BK38" s="16"/>
      <c r="BL38" s="16"/>
      <c r="BM38" s="16"/>
      <c r="BN38" s="16"/>
      <c r="BO38" s="16"/>
      <c r="BP38" s="16"/>
      <c r="BQ38" s="16"/>
      <c r="BR38" s="16"/>
      <c r="BS38" s="16"/>
      <c r="BT38" s="16"/>
      <c r="BU38" s="16"/>
      <c r="BV38" s="16"/>
    </row>
    <row r="39" spans="1:74" s="15" customFormat="1" ht="18.75" x14ac:dyDescent="0.2">
      <c r="A39" s="136">
        <f>IF(F39&lt;&gt;"",1+MAX($A$1:A38),"")</f>
        <v>17</v>
      </c>
      <c r="B39" s="137" t="s">
        <v>186</v>
      </c>
      <c r="C39" s="137" t="s">
        <v>190</v>
      </c>
      <c r="D39" s="138"/>
      <c r="E39" s="139" t="s">
        <v>110</v>
      </c>
      <c r="F39" s="140">
        <f>2.334*1</f>
        <v>2.3340000000000001</v>
      </c>
      <c r="G39" s="96">
        <v>7.0000000000000007E-2</v>
      </c>
      <c r="H39" s="141">
        <f t="shared" si="18"/>
        <v>2.4973800000000002</v>
      </c>
      <c r="I39" s="142" t="s">
        <v>111</v>
      </c>
      <c r="J39" s="155">
        <v>0</v>
      </c>
      <c r="K39" s="97">
        <f t="shared" si="19"/>
        <v>0</v>
      </c>
      <c r="L39" s="144"/>
      <c r="M39" s="16"/>
      <c r="N39" s="16"/>
      <c r="O39" s="16"/>
      <c r="P39" s="16"/>
      <c r="Q39" s="16"/>
      <c r="R39" s="16"/>
      <c r="S39" s="16"/>
      <c r="T39" s="16"/>
      <c r="U39" s="16"/>
      <c r="V39" s="16"/>
      <c r="W39" s="16"/>
      <c r="X39" s="16"/>
      <c r="Y39" s="16"/>
      <c r="Z39" s="16"/>
      <c r="AA39" s="16"/>
      <c r="AB39" s="16"/>
      <c r="AC39" s="16"/>
      <c r="AD39" s="16"/>
      <c r="AE39" s="16"/>
      <c r="AF39" s="16"/>
      <c r="AG39" s="16"/>
      <c r="AH39" s="16"/>
      <c r="AI39" s="16"/>
      <c r="AJ39" s="16"/>
      <c r="AK39" s="16"/>
      <c r="AL39" s="16"/>
      <c r="AM39" s="16"/>
      <c r="AN39" s="16"/>
      <c r="AO39" s="16"/>
      <c r="AP39" s="16"/>
      <c r="AQ39" s="16"/>
      <c r="AR39" s="16"/>
      <c r="AS39" s="16"/>
      <c r="AT39" s="16"/>
      <c r="AU39" s="16"/>
      <c r="AV39" s="16"/>
      <c r="AW39" s="16"/>
      <c r="AX39" s="16"/>
      <c r="AY39" s="16"/>
      <c r="AZ39" s="16"/>
      <c r="BA39" s="16"/>
      <c r="BB39" s="16"/>
      <c r="BC39" s="16"/>
      <c r="BD39" s="16"/>
      <c r="BE39" s="16"/>
      <c r="BF39" s="16"/>
      <c r="BG39" s="16"/>
      <c r="BH39" s="16"/>
      <c r="BI39" s="16"/>
      <c r="BJ39" s="16"/>
      <c r="BK39" s="16"/>
      <c r="BL39" s="16"/>
      <c r="BM39" s="16"/>
      <c r="BN39" s="16"/>
      <c r="BO39" s="16"/>
      <c r="BP39" s="16"/>
      <c r="BQ39" s="16"/>
      <c r="BR39" s="16"/>
      <c r="BS39" s="16"/>
      <c r="BT39" s="16"/>
      <c r="BU39" s="16"/>
      <c r="BV39" s="16"/>
    </row>
    <row r="40" spans="1:74" s="15" customFormat="1" ht="18.75" x14ac:dyDescent="0.2">
      <c r="A40" s="136">
        <f>IF(F40&lt;&gt;"",1+MAX($A$1:A39),"")</f>
        <v>18</v>
      </c>
      <c r="B40" s="137" t="s">
        <v>186</v>
      </c>
      <c r="C40" s="137" t="s">
        <v>190</v>
      </c>
      <c r="D40" s="138"/>
      <c r="E40" s="139" t="s">
        <v>112</v>
      </c>
      <c r="F40" s="165">
        <f>2.334*1.5*2/27</f>
        <v>0.25933333333333336</v>
      </c>
      <c r="G40" s="96">
        <v>7.0000000000000007E-2</v>
      </c>
      <c r="H40" s="166">
        <f t="shared" si="18"/>
        <v>0.27748666666666671</v>
      </c>
      <c r="I40" s="142" t="s">
        <v>108</v>
      </c>
      <c r="J40" s="155">
        <v>0</v>
      </c>
      <c r="K40" s="97">
        <f t="shared" si="19"/>
        <v>0</v>
      </c>
      <c r="L40" s="144"/>
      <c r="M40" s="16"/>
      <c r="N40" s="16"/>
      <c r="O40" s="16"/>
      <c r="P40" s="16"/>
      <c r="Q40" s="16"/>
      <c r="R40" s="16"/>
      <c r="S40" s="16"/>
      <c r="T40" s="16"/>
      <c r="U40" s="16"/>
      <c r="V40" s="16"/>
      <c r="W40" s="16"/>
      <c r="X40" s="16"/>
      <c r="Y40" s="16"/>
      <c r="Z40" s="16"/>
      <c r="AA40" s="16"/>
      <c r="AB40" s="16"/>
      <c r="AC40" s="16"/>
      <c r="AD40" s="16"/>
      <c r="AE40" s="16"/>
      <c r="AF40" s="16"/>
      <c r="AG40" s="16"/>
      <c r="AH40" s="16"/>
      <c r="AI40" s="16"/>
      <c r="AJ40" s="16"/>
      <c r="AK40" s="16"/>
      <c r="AL40" s="16"/>
      <c r="AM40" s="16"/>
      <c r="AN40" s="16"/>
      <c r="AO40" s="16"/>
      <c r="AP40" s="16"/>
      <c r="AQ40" s="16"/>
      <c r="AR40" s="16"/>
      <c r="AS40" s="16"/>
      <c r="AT40" s="16"/>
      <c r="AU40" s="16"/>
      <c r="AV40" s="16"/>
      <c r="AW40" s="16"/>
      <c r="AX40" s="16"/>
      <c r="AY40" s="16"/>
      <c r="AZ40" s="16"/>
      <c r="BA40" s="16"/>
      <c r="BB40" s="16"/>
      <c r="BC40" s="16"/>
      <c r="BD40" s="16"/>
      <c r="BE40" s="16"/>
      <c r="BF40" s="16"/>
      <c r="BG40" s="16"/>
      <c r="BH40" s="16"/>
      <c r="BI40" s="16"/>
      <c r="BJ40" s="16"/>
      <c r="BK40" s="16"/>
      <c r="BL40" s="16"/>
      <c r="BM40" s="16"/>
      <c r="BN40" s="16"/>
      <c r="BO40" s="16"/>
      <c r="BP40" s="16"/>
      <c r="BQ40" s="16"/>
      <c r="BR40" s="16"/>
      <c r="BS40" s="16"/>
      <c r="BT40" s="16"/>
      <c r="BU40" s="16"/>
      <c r="BV40" s="16"/>
    </row>
    <row r="41" spans="1:74" s="15" customFormat="1" ht="18.75" x14ac:dyDescent="0.2">
      <c r="A41" s="136" t="str">
        <f>IF(F41&lt;&gt;"",1+MAX($A$1:A40),"")</f>
        <v/>
      </c>
      <c r="B41" s="145"/>
      <c r="C41" s="137"/>
      <c r="D41" s="138"/>
      <c r="E41" s="139"/>
      <c r="F41" s="140"/>
      <c r="G41" s="96"/>
      <c r="H41" s="141"/>
      <c r="I41" s="142"/>
      <c r="J41" s="155"/>
      <c r="K41" s="97"/>
      <c r="L41" s="144"/>
      <c r="M41" s="16"/>
      <c r="N41" s="16"/>
      <c r="O41" s="16"/>
      <c r="P41" s="16"/>
      <c r="Q41" s="16"/>
      <c r="R41" s="16"/>
      <c r="S41" s="16"/>
      <c r="T41" s="16"/>
      <c r="U41" s="16"/>
      <c r="V41" s="16"/>
      <c r="W41" s="16"/>
      <c r="X41" s="16"/>
      <c r="Y41" s="16"/>
      <c r="Z41" s="16"/>
      <c r="AA41" s="16"/>
      <c r="AB41" s="16"/>
      <c r="AC41" s="16"/>
      <c r="AD41" s="16"/>
      <c r="AE41" s="16"/>
      <c r="AF41" s="16"/>
      <c r="AG41" s="16"/>
      <c r="AH41" s="16"/>
      <c r="AI41" s="16"/>
      <c r="AJ41" s="16"/>
      <c r="AK41" s="16"/>
      <c r="AL41" s="16"/>
      <c r="AM41" s="16"/>
      <c r="AN41" s="16"/>
      <c r="AO41" s="16"/>
      <c r="AP41" s="16"/>
      <c r="AQ41" s="16"/>
      <c r="AR41" s="16"/>
      <c r="AS41" s="16"/>
      <c r="AT41" s="16"/>
      <c r="AU41" s="16"/>
      <c r="AV41" s="16"/>
      <c r="AW41" s="16"/>
      <c r="AX41" s="16"/>
      <c r="AY41" s="16"/>
      <c r="AZ41" s="16"/>
      <c r="BA41" s="16"/>
      <c r="BB41" s="16"/>
      <c r="BC41" s="16"/>
      <c r="BD41" s="16"/>
      <c r="BE41" s="16"/>
      <c r="BF41" s="16"/>
      <c r="BG41" s="16"/>
      <c r="BH41" s="16"/>
      <c r="BI41" s="16"/>
      <c r="BJ41" s="16"/>
      <c r="BK41" s="16"/>
      <c r="BL41" s="16"/>
      <c r="BM41" s="16"/>
      <c r="BN41" s="16"/>
      <c r="BO41" s="16"/>
      <c r="BP41" s="16"/>
      <c r="BQ41" s="16"/>
      <c r="BR41" s="16"/>
      <c r="BS41" s="16"/>
      <c r="BT41" s="16"/>
      <c r="BU41" s="16"/>
      <c r="BV41" s="16"/>
    </row>
    <row r="42" spans="1:74" s="15" customFormat="1" ht="63" x14ac:dyDescent="0.2">
      <c r="A42" s="136" t="str">
        <f>IF(F42&lt;&gt;"",1+MAX($A$1:A41),"")</f>
        <v/>
      </c>
      <c r="B42" s="145"/>
      <c r="C42" s="137"/>
      <c r="D42" s="138"/>
      <c r="E42" s="164" t="s">
        <v>198</v>
      </c>
      <c r="F42" s="140"/>
      <c r="G42" s="96"/>
      <c r="H42" s="141"/>
      <c r="I42" s="150"/>
      <c r="J42" s="21"/>
      <c r="K42" s="97"/>
      <c r="L42" s="144"/>
      <c r="M42" s="16"/>
      <c r="N42" s="16"/>
      <c r="O42" s="16"/>
      <c r="P42" s="16"/>
      <c r="Q42" s="16"/>
      <c r="R42" s="16"/>
      <c r="S42" s="16"/>
      <c r="T42" s="16"/>
      <c r="U42" s="16"/>
      <c r="V42" s="16"/>
      <c r="W42" s="16"/>
      <c r="X42" s="16"/>
      <c r="Y42" s="16"/>
      <c r="Z42" s="16"/>
      <c r="AA42" s="16"/>
      <c r="AB42" s="16"/>
      <c r="AC42" s="16"/>
      <c r="AD42" s="16"/>
      <c r="AE42" s="16"/>
      <c r="AF42" s="16"/>
      <c r="AG42" s="16"/>
      <c r="AH42" s="16"/>
      <c r="AI42" s="16"/>
      <c r="AJ42" s="16"/>
      <c r="AK42" s="16"/>
      <c r="AL42" s="16"/>
      <c r="AM42" s="16"/>
      <c r="AN42" s="16"/>
      <c r="AO42" s="16"/>
      <c r="AP42" s="16"/>
      <c r="AQ42" s="16"/>
      <c r="AR42" s="16"/>
      <c r="AS42" s="16"/>
      <c r="AT42" s="16"/>
      <c r="AU42" s="16"/>
      <c r="AV42" s="16"/>
      <c r="AW42" s="16"/>
      <c r="AX42" s="16"/>
      <c r="AY42" s="16"/>
      <c r="AZ42" s="16"/>
      <c r="BA42" s="16"/>
      <c r="BB42" s="16"/>
      <c r="BC42" s="16"/>
      <c r="BD42" s="16"/>
      <c r="BE42" s="16"/>
      <c r="BF42" s="16"/>
      <c r="BG42" s="16"/>
      <c r="BH42" s="16"/>
      <c r="BI42" s="16"/>
      <c r="BJ42" s="16"/>
      <c r="BK42" s="16"/>
      <c r="BL42" s="16"/>
      <c r="BM42" s="16"/>
      <c r="BN42" s="16"/>
      <c r="BO42" s="16"/>
      <c r="BP42" s="16"/>
      <c r="BQ42" s="16"/>
      <c r="BR42" s="16"/>
      <c r="BS42" s="16"/>
      <c r="BT42" s="16"/>
      <c r="BU42" s="16"/>
      <c r="BV42" s="16"/>
    </row>
    <row r="43" spans="1:74" s="15" customFormat="1" ht="18.75" x14ac:dyDescent="0.2">
      <c r="A43" s="136">
        <f>IF(F43&lt;&gt;"",1+MAX($A$1:A42),"")</f>
        <v>19</v>
      </c>
      <c r="B43" s="137" t="s">
        <v>186</v>
      </c>
      <c r="C43" s="137" t="s">
        <v>190</v>
      </c>
      <c r="D43" s="138"/>
      <c r="E43" s="139" t="s">
        <v>195</v>
      </c>
      <c r="F43" s="167">
        <f>2.334*1*7.334/27</f>
        <v>0.63398355555555552</v>
      </c>
      <c r="G43" s="96">
        <v>7.0000000000000007E-2</v>
      </c>
      <c r="H43" s="141">
        <f t="shared" ref="H43:H47" si="20">F43*(1+G43)</f>
        <v>0.6783624044444444</v>
      </c>
      <c r="I43" s="142" t="s">
        <v>108</v>
      </c>
      <c r="J43" s="21">
        <f>J$36</f>
        <v>0</v>
      </c>
      <c r="K43" s="97">
        <f t="shared" ref="K43:K47" si="21">J43*H43</f>
        <v>0</v>
      </c>
      <c r="L43" s="144"/>
      <c r="M43" s="16"/>
      <c r="N43" s="16"/>
      <c r="O43" s="16"/>
      <c r="P43" s="16"/>
      <c r="Q43" s="16"/>
      <c r="R43" s="16"/>
      <c r="S43" s="16"/>
      <c r="T43" s="16"/>
      <c r="U43" s="16"/>
      <c r="V43" s="16"/>
      <c r="W43" s="16"/>
      <c r="X43" s="16"/>
      <c r="Y43" s="16"/>
      <c r="Z43" s="16"/>
      <c r="AA43" s="16"/>
      <c r="AB43" s="16"/>
      <c r="AC43" s="16"/>
      <c r="AD43" s="16"/>
      <c r="AE43" s="16"/>
      <c r="AF43" s="16"/>
      <c r="AG43" s="16"/>
      <c r="AH43" s="16"/>
      <c r="AI43" s="16"/>
      <c r="AJ43" s="16"/>
      <c r="AK43" s="16"/>
      <c r="AL43" s="16"/>
      <c r="AM43" s="16"/>
      <c r="AN43" s="16"/>
      <c r="AO43" s="16"/>
      <c r="AP43" s="16"/>
      <c r="AQ43" s="16"/>
      <c r="AR43" s="16"/>
      <c r="AS43" s="16"/>
      <c r="AT43" s="16"/>
      <c r="AU43" s="16"/>
      <c r="AV43" s="16"/>
      <c r="AW43" s="16"/>
      <c r="AX43" s="16"/>
      <c r="AY43" s="16"/>
      <c r="AZ43" s="16"/>
      <c r="BA43" s="16"/>
      <c r="BB43" s="16"/>
      <c r="BC43" s="16"/>
      <c r="BD43" s="16"/>
      <c r="BE43" s="16"/>
      <c r="BF43" s="16"/>
      <c r="BG43" s="16"/>
      <c r="BH43" s="16"/>
      <c r="BI43" s="16"/>
      <c r="BJ43" s="16"/>
      <c r="BK43" s="16"/>
      <c r="BL43" s="16"/>
      <c r="BM43" s="16"/>
      <c r="BN43" s="16"/>
      <c r="BO43" s="16"/>
      <c r="BP43" s="16"/>
      <c r="BQ43" s="16"/>
      <c r="BR43" s="16"/>
      <c r="BS43" s="16"/>
      <c r="BT43" s="16"/>
      <c r="BU43" s="16"/>
      <c r="BV43" s="16"/>
    </row>
    <row r="44" spans="1:74" s="15" customFormat="1" ht="18.75" x14ac:dyDescent="0.2">
      <c r="A44" s="136">
        <f>IF(F44&lt;&gt;"",1+MAX($A$1:A43),"")</f>
        <v>20</v>
      </c>
      <c r="B44" s="137" t="s">
        <v>186</v>
      </c>
      <c r="C44" s="137" t="s">
        <v>190</v>
      </c>
      <c r="D44" s="138"/>
      <c r="E44" s="139" t="s">
        <v>199</v>
      </c>
      <c r="F44" s="140">
        <f>2*2.334*0.668*1.2*3</f>
        <v>11.2256064</v>
      </c>
      <c r="G44" s="96">
        <v>7.0000000000000007E-2</v>
      </c>
      <c r="H44" s="141">
        <f t="shared" si="20"/>
        <v>12.011398848000001</v>
      </c>
      <c r="I44" s="142" t="s">
        <v>109</v>
      </c>
      <c r="J44" s="155">
        <f t="shared" ref="J44:J45" si="22">J$37</f>
        <v>0</v>
      </c>
      <c r="K44" s="97">
        <f t="shared" si="21"/>
        <v>0</v>
      </c>
      <c r="L44" s="144"/>
      <c r="M44" s="16"/>
      <c r="N44" s="16"/>
      <c r="O44" s="16"/>
      <c r="P44" s="16"/>
      <c r="Q44" s="16"/>
      <c r="R44" s="16"/>
      <c r="S44" s="16"/>
      <c r="T44" s="16"/>
      <c r="U44" s="16"/>
      <c r="V44" s="16"/>
      <c r="W44" s="16"/>
      <c r="X44" s="16"/>
      <c r="Y44" s="16"/>
      <c r="Z44" s="16"/>
      <c r="AA44" s="16"/>
      <c r="AB44" s="16"/>
      <c r="AC44" s="16"/>
      <c r="AD44" s="16"/>
      <c r="AE44" s="16"/>
      <c r="AF44" s="16"/>
      <c r="AG44" s="16"/>
      <c r="AH44" s="16"/>
      <c r="AI44" s="16"/>
      <c r="AJ44" s="16"/>
      <c r="AK44" s="16"/>
      <c r="AL44" s="16"/>
      <c r="AM44" s="16"/>
      <c r="AN44" s="16"/>
      <c r="AO44" s="16"/>
      <c r="AP44" s="16"/>
      <c r="AQ44" s="16"/>
      <c r="AR44" s="16"/>
      <c r="AS44" s="16"/>
      <c r="AT44" s="16"/>
      <c r="AU44" s="16"/>
      <c r="AV44" s="16"/>
      <c r="AW44" s="16"/>
      <c r="AX44" s="16"/>
      <c r="AY44" s="16"/>
      <c r="AZ44" s="16"/>
      <c r="BA44" s="16"/>
      <c r="BB44" s="16"/>
      <c r="BC44" s="16"/>
      <c r="BD44" s="16"/>
      <c r="BE44" s="16"/>
      <c r="BF44" s="16"/>
      <c r="BG44" s="16"/>
      <c r="BH44" s="16"/>
      <c r="BI44" s="16"/>
      <c r="BJ44" s="16"/>
      <c r="BK44" s="16"/>
      <c r="BL44" s="16"/>
      <c r="BM44" s="16"/>
      <c r="BN44" s="16"/>
      <c r="BO44" s="16"/>
      <c r="BP44" s="16"/>
      <c r="BQ44" s="16"/>
      <c r="BR44" s="16"/>
      <c r="BS44" s="16"/>
      <c r="BT44" s="16"/>
      <c r="BU44" s="16"/>
      <c r="BV44" s="16"/>
    </row>
    <row r="45" spans="1:74" s="15" customFormat="1" ht="18.75" x14ac:dyDescent="0.2">
      <c r="A45" s="136">
        <f>IF(F45&lt;&gt;"",1+MAX($A$1:A44),"")</f>
        <v>21</v>
      </c>
      <c r="B45" s="137" t="s">
        <v>186</v>
      </c>
      <c r="C45" s="137" t="s">
        <v>190</v>
      </c>
      <c r="D45" s="138"/>
      <c r="E45" s="139" t="s">
        <v>200</v>
      </c>
      <c r="F45" s="140">
        <f>((2.334*12/16)+1)*7.334*0.668*1.2*2</f>
        <v>32.340018134400005</v>
      </c>
      <c r="G45" s="96">
        <v>7.0000000000000007E-2</v>
      </c>
      <c r="H45" s="141">
        <f t="shared" si="20"/>
        <v>34.603819403808004</v>
      </c>
      <c r="I45" s="142" t="s">
        <v>109</v>
      </c>
      <c r="J45" s="155">
        <f t="shared" si="22"/>
        <v>0</v>
      </c>
      <c r="K45" s="97">
        <f t="shared" si="21"/>
        <v>0</v>
      </c>
      <c r="L45" s="144"/>
      <c r="M45" s="16"/>
      <c r="N45" s="16"/>
      <c r="O45" s="16"/>
      <c r="P45" s="16"/>
      <c r="Q45" s="16"/>
      <c r="R45" s="16"/>
      <c r="S45" s="16"/>
      <c r="T45" s="16"/>
      <c r="U45" s="16"/>
      <c r="V45" s="16"/>
      <c r="W45" s="16"/>
      <c r="X45" s="16"/>
      <c r="Y45" s="16"/>
      <c r="Z45" s="16"/>
      <c r="AA45" s="16"/>
      <c r="AB45" s="16"/>
      <c r="AC45" s="16"/>
      <c r="AD45" s="16"/>
      <c r="AE45" s="16"/>
      <c r="AF45" s="16"/>
      <c r="AG45" s="16"/>
      <c r="AH45" s="16"/>
      <c r="AI45" s="16"/>
      <c r="AJ45" s="16"/>
      <c r="AK45" s="16"/>
      <c r="AL45" s="16"/>
      <c r="AM45" s="16"/>
      <c r="AN45" s="16"/>
      <c r="AO45" s="16"/>
      <c r="AP45" s="16"/>
      <c r="AQ45" s="16"/>
      <c r="AR45" s="16"/>
      <c r="AS45" s="16"/>
      <c r="AT45" s="16"/>
      <c r="AU45" s="16"/>
      <c r="AV45" s="16"/>
      <c r="AW45" s="16"/>
      <c r="AX45" s="16"/>
      <c r="AY45" s="16"/>
      <c r="AZ45" s="16"/>
      <c r="BA45" s="16"/>
      <c r="BB45" s="16"/>
      <c r="BC45" s="16"/>
      <c r="BD45" s="16"/>
      <c r="BE45" s="16"/>
      <c r="BF45" s="16"/>
      <c r="BG45" s="16"/>
      <c r="BH45" s="16"/>
      <c r="BI45" s="16"/>
      <c r="BJ45" s="16"/>
      <c r="BK45" s="16"/>
      <c r="BL45" s="16"/>
      <c r="BM45" s="16"/>
      <c r="BN45" s="16"/>
      <c r="BO45" s="16"/>
      <c r="BP45" s="16"/>
      <c r="BQ45" s="16"/>
      <c r="BR45" s="16"/>
      <c r="BS45" s="16"/>
      <c r="BT45" s="16"/>
      <c r="BU45" s="16"/>
      <c r="BV45" s="16"/>
    </row>
    <row r="46" spans="1:74" s="15" customFormat="1" ht="18.75" x14ac:dyDescent="0.2">
      <c r="A46" s="136">
        <f>IF(F46&lt;&gt;"",1+MAX($A$1:A45),"")</f>
        <v>22</v>
      </c>
      <c r="B46" s="137" t="s">
        <v>186</v>
      </c>
      <c r="C46" s="137" t="s">
        <v>190</v>
      </c>
      <c r="D46" s="138"/>
      <c r="E46" s="139" t="s">
        <v>110</v>
      </c>
      <c r="F46" s="140">
        <f>2.334*7.334</f>
        <v>17.117556</v>
      </c>
      <c r="G46" s="96">
        <v>7.0000000000000007E-2</v>
      </c>
      <c r="H46" s="141">
        <f t="shared" si="20"/>
        <v>18.315784920000002</v>
      </c>
      <c r="I46" s="142" t="s">
        <v>111</v>
      </c>
      <c r="J46" s="155">
        <f>J$39</f>
        <v>0</v>
      </c>
      <c r="K46" s="97">
        <f t="shared" si="21"/>
        <v>0</v>
      </c>
      <c r="L46" s="144"/>
      <c r="M46" s="16"/>
      <c r="N46" s="16"/>
      <c r="O46" s="16"/>
      <c r="P46" s="16"/>
      <c r="Q46" s="16"/>
      <c r="R46" s="16"/>
      <c r="S46" s="16"/>
      <c r="T46" s="16"/>
      <c r="U46" s="16"/>
      <c r="V46" s="16"/>
      <c r="W46" s="16"/>
      <c r="X46" s="16"/>
      <c r="Y46" s="16"/>
      <c r="Z46" s="16"/>
      <c r="AA46" s="16"/>
      <c r="AB46" s="16"/>
      <c r="AC46" s="16"/>
      <c r="AD46" s="16"/>
      <c r="AE46" s="16"/>
      <c r="AF46" s="16"/>
      <c r="AG46" s="16"/>
      <c r="AH46" s="16"/>
      <c r="AI46" s="16"/>
      <c r="AJ46" s="16"/>
      <c r="AK46" s="16"/>
      <c r="AL46" s="16"/>
      <c r="AM46" s="16"/>
      <c r="AN46" s="16"/>
      <c r="AO46" s="16"/>
      <c r="AP46" s="16"/>
      <c r="AQ46" s="16"/>
      <c r="AR46" s="16"/>
      <c r="AS46" s="16"/>
      <c r="AT46" s="16"/>
      <c r="AU46" s="16"/>
      <c r="AV46" s="16"/>
      <c r="AW46" s="16"/>
      <c r="AX46" s="16"/>
      <c r="AY46" s="16"/>
      <c r="AZ46" s="16"/>
      <c r="BA46" s="16"/>
      <c r="BB46" s="16"/>
      <c r="BC46" s="16"/>
      <c r="BD46" s="16"/>
      <c r="BE46" s="16"/>
      <c r="BF46" s="16"/>
      <c r="BG46" s="16"/>
      <c r="BH46" s="16"/>
      <c r="BI46" s="16"/>
      <c r="BJ46" s="16"/>
      <c r="BK46" s="16"/>
      <c r="BL46" s="16"/>
      <c r="BM46" s="16"/>
      <c r="BN46" s="16"/>
      <c r="BO46" s="16"/>
      <c r="BP46" s="16"/>
      <c r="BQ46" s="16"/>
      <c r="BR46" s="16"/>
      <c r="BS46" s="16"/>
      <c r="BT46" s="16"/>
      <c r="BU46" s="16"/>
      <c r="BV46" s="16"/>
    </row>
    <row r="47" spans="1:74" s="15" customFormat="1" ht="18.75" x14ac:dyDescent="0.2">
      <c r="A47" s="136">
        <f>IF(F47&lt;&gt;"",1+MAX($A$1:A46),"")</f>
        <v>23</v>
      </c>
      <c r="B47" s="137" t="s">
        <v>186</v>
      </c>
      <c r="C47" s="137" t="s">
        <v>190</v>
      </c>
      <c r="D47" s="138"/>
      <c r="E47" s="139" t="s">
        <v>112</v>
      </c>
      <c r="F47" s="167">
        <f>2.334*1*7.334/27</f>
        <v>0.63398355555555552</v>
      </c>
      <c r="G47" s="96">
        <v>7.0000000000000007E-2</v>
      </c>
      <c r="H47" s="141">
        <f t="shared" si="20"/>
        <v>0.6783624044444444</v>
      </c>
      <c r="I47" s="142" t="s">
        <v>108</v>
      </c>
      <c r="J47" s="155">
        <f>J$40</f>
        <v>0</v>
      </c>
      <c r="K47" s="97">
        <f t="shared" si="21"/>
        <v>0</v>
      </c>
      <c r="L47" s="144"/>
      <c r="M47" s="16"/>
      <c r="N47" s="16"/>
      <c r="O47" s="16"/>
      <c r="P47" s="16"/>
      <c r="Q47" s="16"/>
      <c r="R47" s="16"/>
      <c r="S47" s="16"/>
      <c r="T47" s="16"/>
      <c r="U47" s="16"/>
      <c r="V47" s="16"/>
      <c r="W47" s="16"/>
      <c r="X47" s="16"/>
      <c r="Y47" s="16"/>
      <c r="Z47" s="16"/>
      <c r="AA47" s="16"/>
      <c r="AB47" s="16"/>
      <c r="AC47" s="16"/>
      <c r="AD47" s="16"/>
      <c r="AE47" s="16"/>
      <c r="AF47" s="16"/>
      <c r="AG47" s="16"/>
      <c r="AH47" s="16"/>
      <c r="AI47" s="16"/>
      <c r="AJ47" s="16"/>
      <c r="AK47" s="16"/>
      <c r="AL47" s="16"/>
      <c r="AM47" s="16"/>
      <c r="AN47" s="16"/>
      <c r="AO47" s="16"/>
      <c r="AP47" s="16"/>
      <c r="AQ47" s="16"/>
      <c r="AR47" s="16"/>
      <c r="AS47" s="16"/>
      <c r="AT47" s="16"/>
      <c r="AU47" s="16"/>
      <c r="AV47" s="16"/>
      <c r="AW47" s="16"/>
      <c r="AX47" s="16"/>
      <c r="AY47" s="16"/>
      <c r="AZ47" s="16"/>
      <c r="BA47" s="16"/>
      <c r="BB47" s="16"/>
      <c r="BC47" s="16"/>
      <c r="BD47" s="16"/>
      <c r="BE47" s="16"/>
      <c r="BF47" s="16"/>
      <c r="BG47" s="16"/>
      <c r="BH47" s="16"/>
      <c r="BI47" s="16"/>
      <c r="BJ47" s="16"/>
      <c r="BK47" s="16"/>
      <c r="BL47" s="16"/>
      <c r="BM47" s="16"/>
      <c r="BN47" s="16"/>
      <c r="BO47" s="16"/>
      <c r="BP47" s="16"/>
      <c r="BQ47" s="16"/>
      <c r="BR47" s="16"/>
      <c r="BS47" s="16"/>
      <c r="BT47" s="16"/>
      <c r="BU47" s="16"/>
      <c r="BV47" s="16"/>
    </row>
    <row r="48" spans="1:74" s="15" customFormat="1" ht="18.75" x14ac:dyDescent="0.2">
      <c r="A48" s="136" t="str">
        <f>IF(F48&lt;&gt;"",1+MAX($A$1:A47),"")</f>
        <v/>
      </c>
      <c r="B48" s="145"/>
      <c r="C48" s="137"/>
      <c r="D48" s="138"/>
      <c r="E48" s="139"/>
      <c r="F48" s="140"/>
      <c r="G48" s="96"/>
      <c r="H48" s="141"/>
      <c r="I48" s="142"/>
      <c r="J48" s="155"/>
      <c r="K48" s="97"/>
      <c r="L48" s="144"/>
      <c r="M48" s="16"/>
      <c r="N48" s="16"/>
      <c r="O48" s="16"/>
      <c r="P48" s="16"/>
      <c r="Q48" s="16"/>
      <c r="R48" s="16"/>
      <c r="S48" s="16"/>
      <c r="T48" s="16"/>
      <c r="U48" s="16"/>
      <c r="V48" s="16"/>
      <c r="W48" s="16"/>
      <c r="X48" s="16"/>
      <c r="Y48" s="16"/>
      <c r="Z48" s="16"/>
      <c r="AA48" s="16"/>
      <c r="AB48" s="16"/>
      <c r="AC48" s="16"/>
      <c r="AD48" s="16"/>
      <c r="AE48" s="16"/>
      <c r="AF48" s="16"/>
      <c r="AG48" s="16"/>
      <c r="AH48" s="16"/>
      <c r="AI48" s="16"/>
      <c r="AJ48" s="16"/>
      <c r="AK48" s="16"/>
      <c r="AL48" s="16"/>
      <c r="AM48" s="16"/>
      <c r="AN48" s="16"/>
      <c r="AO48" s="16"/>
      <c r="AP48" s="16"/>
      <c r="AQ48" s="16"/>
      <c r="AR48" s="16"/>
      <c r="AS48" s="16"/>
      <c r="AT48" s="16"/>
      <c r="AU48" s="16"/>
      <c r="AV48" s="16"/>
      <c r="AW48" s="16"/>
      <c r="AX48" s="16"/>
      <c r="AY48" s="16"/>
      <c r="AZ48" s="16"/>
      <c r="BA48" s="16"/>
      <c r="BB48" s="16"/>
      <c r="BC48" s="16"/>
      <c r="BD48" s="16"/>
      <c r="BE48" s="16"/>
      <c r="BF48" s="16"/>
      <c r="BG48" s="16"/>
      <c r="BH48" s="16"/>
      <c r="BI48" s="16"/>
      <c r="BJ48" s="16"/>
      <c r="BK48" s="16"/>
      <c r="BL48" s="16"/>
      <c r="BM48" s="16"/>
      <c r="BN48" s="16"/>
      <c r="BO48" s="16"/>
      <c r="BP48" s="16"/>
      <c r="BQ48" s="16"/>
      <c r="BR48" s="16"/>
      <c r="BS48" s="16"/>
      <c r="BT48" s="16"/>
      <c r="BU48" s="16"/>
      <c r="BV48" s="16"/>
    </row>
    <row r="49" spans="1:74" s="15" customFormat="1" ht="18.75" x14ac:dyDescent="0.2">
      <c r="A49" s="136">
        <f>IF(F49&lt;&gt;"",1+MAX($A$1:A48),"")</f>
        <v>24</v>
      </c>
      <c r="B49" s="145"/>
      <c r="C49" s="137"/>
      <c r="D49" s="138"/>
      <c r="E49" s="164" t="s">
        <v>220</v>
      </c>
      <c r="F49" s="140">
        <v>3</v>
      </c>
      <c r="G49" s="96">
        <v>0</v>
      </c>
      <c r="H49" s="141">
        <f t="shared" ref="H49" si="23">F49*(1+G49)</f>
        <v>3</v>
      </c>
      <c r="I49" s="142" t="s">
        <v>201</v>
      </c>
      <c r="J49" s="124">
        <f>SUM(K35:K48)</f>
        <v>0</v>
      </c>
      <c r="K49" s="97">
        <f>J49*H49</f>
        <v>0</v>
      </c>
      <c r="L49" s="144"/>
      <c r="M49" s="16"/>
      <c r="N49" s="16"/>
      <c r="O49" s="16"/>
      <c r="P49" s="16"/>
      <c r="Q49" s="16"/>
      <c r="R49" s="16"/>
      <c r="S49" s="16"/>
      <c r="T49" s="16"/>
      <c r="U49" s="16"/>
      <c r="V49" s="16"/>
      <c r="W49" s="16"/>
      <c r="X49" s="16"/>
      <c r="Y49" s="16"/>
      <c r="Z49" s="16"/>
      <c r="AA49" s="16"/>
      <c r="AB49" s="16"/>
      <c r="AC49" s="16"/>
      <c r="AD49" s="16"/>
      <c r="AE49" s="16"/>
      <c r="AF49" s="16"/>
      <c r="AG49" s="16"/>
      <c r="AH49" s="16"/>
      <c r="AI49" s="16"/>
      <c r="AJ49" s="16"/>
      <c r="AK49" s="16"/>
      <c r="AL49" s="16"/>
      <c r="AM49" s="16"/>
      <c r="AN49" s="16"/>
      <c r="AO49" s="16"/>
      <c r="AP49" s="16"/>
      <c r="AQ49" s="16"/>
      <c r="AR49" s="16"/>
      <c r="AS49" s="16"/>
      <c r="AT49" s="16"/>
      <c r="AU49" s="16"/>
      <c r="AV49" s="16"/>
      <c r="AW49" s="16"/>
      <c r="AX49" s="16"/>
      <c r="AY49" s="16"/>
      <c r="AZ49" s="16"/>
      <c r="BA49" s="16"/>
      <c r="BB49" s="16"/>
      <c r="BC49" s="16"/>
      <c r="BD49" s="16"/>
      <c r="BE49" s="16"/>
      <c r="BF49" s="16"/>
      <c r="BG49" s="16"/>
      <c r="BH49" s="16"/>
      <c r="BI49" s="16"/>
      <c r="BJ49" s="16"/>
      <c r="BK49" s="16"/>
      <c r="BL49" s="16"/>
      <c r="BM49" s="16"/>
      <c r="BN49" s="16"/>
      <c r="BO49" s="16"/>
      <c r="BP49" s="16"/>
      <c r="BQ49" s="16"/>
      <c r="BR49" s="16"/>
      <c r="BS49" s="16"/>
      <c r="BT49" s="16"/>
      <c r="BU49" s="16"/>
      <c r="BV49" s="16"/>
    </row>
    <row r="50" spans="1:74" s="16" customFormat="1" ht="18.75" x14ac:dyDescent="0.2">
      <c r="A50" s="136" t="str">
        <f>IF(F50&lt;&gt;"",1+MAX($A$1:A49),"")</f>
        <v/>
      </c>
      <c r="B50" s="145"/>
      <c r="C50" s="137"/>
      <c r="D50" s="138"/>
      <c r="E50" s="164"/>
      <c r="F50" s="140"/>
      <c r="G50" s="96"/>
      <c r="H50" s="141"/>
      <c r="I50" s="142"/>
      <c r="J50" s="140"/>
      <c r="K50" s="97"/>
      <c r="L50" s="144"/>
    </row>
    <row r="51" spans="1:74" s="15" customFormat="1" ht="63" x14ac:dyDescent="0.2">
      <c r="A51" s="136" t="str">
        <f>IF(F51&lt;&gt;"",1+MAX($A$1:A50),"")</f>
        <v/>
      </c>
      <c r="B51" s="145"/>
      <c r="C51" s="137"/>
      <c r="D51" s="138"/>
      <c r="E51" s="164" t="s">
        <v>202</v>
      </c>
      <c r="F51" s="140"/>
      <c r="G51" s="96"/>
      <c r="H51" s="141"/>
      <c r="I51" s="150"/>
      <c r="J51" s="21"/>
      <c r="K51" s="97"/>
      <c r="L51" s="144"/>
      <c r="M51" s="16"/>
      <c r="N51" s="16"/>
      <c r="O51" s="16"/>
      <c r="P51" s="16"/>
      <c r="Q51" s="16"/>
      <c r="R51" s="16"/>
      <c r="S51" s="16"/>
      <c r="T51" s="16"/>
      <c r="U51" s="16"/>
      <c r="V51" s="16"/>
      <c r="W51" s="16"/>
      <c r="X51" s="16"/>
      <c r="Y51" s="16"/>
      <c r="Z51" s="16"/>
      <c r="AA51" s="16"/>
      <c r="AB51" s="16"/>
      <c r="AC51" s="16"/>
      <c r="AD51" s="16"/>
      <c r="AE51" s="16"/>
      <c r="AF51" s="16"/>
      <c r="AG51" s="16"/>
      <c r="AH51" s="16"/>
      <c r="AI51" s="16"/>
      <c r="AJ51" s="16"/>
      <c r="AK51" s="16"/>
      <c r="AL51" s="16"/>
      <c r="AM51" s="16"/>
      <c r="AN51" s="16"/>
      <c r="AO51" s="16"/>
      <c r="AP51" s="16"/>
      <c r="AQ51" s="16"/>
      <c r="AR51" s="16"/>
      <c r="AS51" s="16"/>
      <c r="AT51" s="16"/>
      <c r="AU51" s="16"/>
      <c r="AV51" s="16"/>
      <c r="AW51" s="16"/>
      <c r="AX51" s="16"/>
      <c r="AY51" s="16"/>
      <c r="AZ51" s="16"/>
      <c r="BA51" s="16"/>
      <c r="BB51" s="16"/>
      <c r="BC51" s="16"/>
      <c r="BD51" s="16"/>
      <c r="BE51" s="16"/>
      <c r="BF51" s="16"/>
      <c r="BG51" s="16"/>
      <c r="BH51" s="16"/>
      <c r="BI51" s="16"/>
      <c r="BJ51" s="16"/>
      <c r="BK51" s="16"/>
      <c r="BL51" s="16"/>
      <c r="BM51" s="16"/>
      <c r="BN51" s="16"/>
      <c r="BO51" s="16"/>
      <c r="BP51" s="16"/>
      <c r="BQ51" s="16"/>
      <c r="BR51" s="16"/>
      <c r="BS51" s="16"/>
      <c r="BT51" s="16"/>
      <c r="BU51" s="16"/>
      <c r="BV51" s="16"/>
    </row>
    <row r="52" spans="1:74" s="15" customFormat="1" ht="18.75" x14ac:dyDescent="0.2">
      <c r="A52" s="136">
        <f>IF(F52&lt;&gt;"",1+MAX($A$1:A51),"")</f>
        <v>25</v>
      </c>
      <c r="B52" s="137" t="s">
        <v>186</v>
      </c>
      <c r="C52" s="137" t="s">
        <v>190</v>
      </c>
      <c r="D52" s="138"/>
      <c r="E52" s="139" t="s">
        <v>195</v>
      </c>
      <c r="F52" s="165">
        <f>3*1.5*1/27</f>
        <v>0.16666666666666666</v>
      </c>
      <c r="G52" s="96">
        <v>7.0000000000000007E-2</v>
      </c>
      <c r="H52" s="166">
        <f t="shared" ref="H52:H56" si="24">F52*(1+G52)</f>
        <v>0.17833333333333334</v>
      </c>
      <c r="I52" s="142" t="s">
        <v>108</v>
      </c>
      <c r="J52" s="21">
        <f>J$36</f>
        <v>0</v>
      </c>
      <c r="K52" s="97">
        <f t="shared" ref="K52:K56" si="25">J52*H52</f>
        <v>0</v>
      </c>
      <c r="L52" s="144"/>
      <c r="M52" s="16"/>
      <c r="N52" s="16"/>
      <c r="O52" s="16"/>
      <c r="P52" s="16"/>
      <c r="Q52" s="16"/>
      <c r="R52" s="16"/>
      <c r="S52" s="16"/>
      <c r="T52" s="16"/>
      <c r="U52" s="16"/>
      <c r="V52" s="16"/>
      <c r="W52" s="16"/>
      <c r="X52" s="16"/>
      <c r="Y52" s="16"/>
      <c r="Z52" s="16"/>
      <c r="AA52" s="16"/>
      <c r="AB52" s="16"/>
      <c r="AC52" s="16"/>
      <c r="AD52" s="16"/>
      <c r="AE52" s="16"/>
      <c r="AF52" s="16"/>
      <c r="AG52" s="16"/>
      <c r="AH52" s="16"/>
      <c r="AI52" s="16"/>
      <c r="AJ52" s="16"/>
      <c r="AK52" s="16"/>
      <c r="AL52" s="16"/>
      <c r="AM52" s="16"/>
      <c r="AN52" s="16"/>
      <c r="AO52" s="16"/>
      <c r="AP52" s="16"/>
      <c r="AQ52" s="16"/>
      <c r="AR52" s="16"/>
      <c r="AS52" s="16"/>
      <c r="AT52" s="16"/>
      <c r="AU52" s="16"/>
      <c r="AV52" s="16"/>
      <c r="AW52" s="16"/>
      <c r="AX52" s="16"/>
      <c r="AY52" s="16"/>
      <c r="AZ52" s="16"/>
      <c r="BA52" s="16"/>
      <c r="BB52" s="16"/>
      <c r="BC52" s="16"/>
      <c r="BD52" s="16"/>
      <c r="BE52" s="16"/>
      <c r="BF52" s="16"/>
      <c r="BG52" s="16"/>
      <c r="BH52" s="16"/>
      <c r="BI52" s="16"/>
      <c r="BJ52" s="16"/>
      <c r="BK52" s="16"/>
      <c r="BL52" s="16"/>
      <c r="BM52" s="16"/>
      <c r="BN52" s="16"/>
      <c r="BO52" s="16"/>
      <c r="BP52" s="16"/>
      <c r="BQ52" s="16"/>
      <c r="BR52" s="16"/>
      <c r="BS52" s="16"/>
      <c r="BT52" s="16"/>
      <c r="BU52" s="16"/>
      <c r="BV52" s="16"/>
    </row>
    <row r="53" spans="1:74" s="15" customFormat="1" ht="18.75" x14ac:dyDescent="0.2">
      <c r="A53" s="136">
        <f>IF(F53&lt;&gt;"",1+MAX($A$1:A52),"")</f>
        <v>26</v>
      </c>
      <c r="B53" s="137" t="s">
        <v>186</v>
      </c>
      <c r="C53" s="137" t="s">
        <v>190</v>
      </c>
      <c r="D53" s="138"/>
      <c r="E53" s="139" t="s">
        <v>196</v>
      </c>
      <c r="F53" s="140">
        <f>2*3*0.668*1.2</f>
        <v>4.8095999999999997</v>
      </c>
      <c r="G53" s="96">
        <v>7.0000000000000007E-2</v>
      </c>
      <c r="H53" s="141">
        <f t="shared" si="24"/>
        <v>5.1462719999999997</v>
      </c>
      <c r="I53" s="142" t="s">
        <v>109</v>
      </c>
      <c r="J53" s="155">
        <f t="shared" ref="J53:J54" si="26">J$37</f>
        <v>0</v>
      </c>
      <c r="K53" s="97">
        <f t="shared" si="25"/>
        <v>0</v>
      </c>
      <c r="L53" s="144"/>
      <c r="M53" s="16"/>
      <c r="N53" s="16"/>
      <c r="O53" s="16"/>
      <c r="P53" s="16"/>
      <c r="Q53" s="16"/>
      <c r="R53" s="16"/>
      <c r="S53" s="16"/>
      <c r="T53" s="16"/>
      <c r="U53" s="16"/>
      <c r="V53" s="16"/>
      <c r="W53" s="16"/>
      <c r="X53" s="16"/>
      <c r="Y53" s="16"/>
      <c r="Z53" s="16"/>
      <c r="AA53" s="16"/>
      <c r="AB53" s="16"/>
      <c r="AC53" s="16"/>
      <c r="AD53" s="16"/>
      <c r="AE53" s="16"/>
      <c r="AF53" s="16"/>
      <c r="AG53" s="16"/>
      <c r="AH53" s="16"/>
      <c r="AI53" s="16"/>
      <c r="AJ53" s="16"/>
      <c r="AK53" s="16"/>
      <c r="AL53" s="16"/>
      <c r="AM53" s="16"/>
      <c r="AN53" s="16"/>
      <c r="AO53" s="16"/>
      <c r="AP53" s="16"/>
      <c r="AQ53" s="16"/>
      <c r="AR53" s="16"/>
      <c r="AS53" s="16"/>
      <c r="AT53" s="16"/>
      <c r="AU53" s="16"/>
      <c r="AV53" s="16"/>
      <c r="AW53" s="16"/>
      <c r="AX53" s="16"/>
      <c r="AY53" s="16"/>
      <c r="AZ53" s="16"/>
      <c r="BA53" s="16"/>
      <c r="BB53" s="16"/>
      <c r="BC53" s="16"/>
      <c r="BD53" s="16"/>
      <c r="BE53" s="16"/>
      <c r="BF53" s="16"/>
      <c r="BG53" s="16"/>
      <c r="BH53" s="16"/>
      <c r="BI53" s="16"/>
      <c r="BJ53" s="16"/>
      <c r="BK53" s="16"/>
      <c r="BL53" s="16"/>
      <c r="BM53" s="16"/>
      <c r="BN53" s="16"/>
      <c r="BO53" s="16"/>
      <c r="BP53" s="16"/>
      <c r="BQ53" s="16"/>
      <c r="BR53" s="16"/>
      <c r="BS53" s="16"/>
      <c r="BT53" s="16"/>
      <c r="BU53" s="16"/>
      <c r="BV53" s="16"/>
    </row>
    <row r="54" spans="1:74" s="15" customFormat="1" ht="18.75" x14ac:dyDescent="0.2">
      <c r="A54" s="136">
        <f>IF(F54&lt;&gt;"",1+MAX($A$1:A53),"")</f>
        <v>27</v>
      </c>
      <c r="B54" s="137" t="s">
        <v>186</v>
      </c>
      <c r="C54" s="137" t="s">
        <v>190</v>
      </c>
      <c r="D54" s="138"/>
      <c r="E54" s="139" t="s">
        <v>197</v>
      </c>
      <c r="F54" s="140">
        <f>((3*12/24)+1)*1.5*0.668*1.2</f>
        <v>3.0060000000000002</v>
      </c>
      <c r="G54" s="96">
        <v>7.0000000000000007E-2</v>
      </c>
      <c r="H54" s="141">
        <f t="shared" si="24"/>
        <v>3.2164200000000003</v>
      </c>
      <c r="I54" s="142" t="s">
        <v>109</v>
      </c>
      <c r="J54" s="155">
        <f t="shared" si="26"/>
        <v>0</v>
      </c>
      <c r="K54" s="97">
        <f t="shared" si="25"/>
        <v>0</v>
      </c>
      <c r="L54" s="144"/>
      <c r="M54" s="16"/>
      <c r="N54" s="16"/>
      <c r="O54" s="16"/>
      <c r="P54" s="16"/>
      <c r="Q54" s="16"/>
      <c r="R54" s="16"/>
      <c r="S54" s="16"/>
      <c r="T54" s="16"/>
      <c r="U54" s="16"/>
      <c r="V54" s="16"/>
      <c r="W54" s="16"/>
      <c r="X54" s="16"/>
      <c r="Y54" s="16"/>
      <c r="Z54" s="16"/>
      <c r="AA54" s="16"/>
      <c r="AB54" s="16"/>
      <c r="AC54" s="16"/>
      <c r="AD54" s="16"/>
      <c r="AE54" s="16"/>
      <c r="AF54" s="16"/>
      <c r="AG54" s="16"/>
      <c r="AH54" s="16"/>
      <c r="AI54" s="16"/>
      <c r="AJ54" s="16"/>
      <c r="AK54" s="16"/>
      <c r="AL54" s="16"/>
      <c r="AM54" s="16"/>
      <c r="AN54" s="16"/>
      <c r="AO54" s="16"/>
      <c r="AP54" s="16"/>
      <c r="AQ54" s="16"/>
      <c r="AR54" s="16"/>
      <c r="AS54" s="16"/>
      <c r="AT54" s="16"/>
      <c r="AU54" s="16"/>
      <c r="AV54" s="16"/>
      <c r="AW54" s="16"/>
      <c r="AX54" s="16"/>
      <c r="AY54" s="16"/>
      <c r="AZ54" s="16"/>
      <c r="BA54" s="16"/>
      <c r="BB54" s="16"/>
      <c r="BC54" s="16"/>
      <c r="BD54" s="16"/>
      <c r="BE54" s="16"/>
      <c r="BF54" s="16"/>
      <c r="BG54" s="16"/>
      <c r="BH54" s="16"/>
      <c r="BI54" s="16"/>
      <c r="BJ54" s="16"/>
      <c r="BK54" s="16"/>
      <c r="BL54" s="16"/>
      <c r="BM54" s="16"/>
      <c r="BN54" s="16"/>
      <c r="BO54" s="16"/>
      <c r="BP54" s="16"/>
      <c r="BQ54" s="16"/>
      <c r="BR54" s="16"/>
      <c r="BS54" s="16"/>
      <c r="BT54" s="16"/>
      <c r="BU54" s="16"/>
      <c r="BV54" s="16"/>
    </row>
    <row r="55" spans="1:74" s="15" customFormat="1" ht="18.75" x14ac:dyDescent="0.2">
      <c r="A55" s="136">
        <f>IF(F55&lt;&gt;"",1+MAX($A$1:A54),"")</f>
        <v>28</v>
      </c>
      <c r="B55" s="137" t="s">
        <v>186</v>
      </c>
      <c r="C55" s="137" t="s">
        <v>190</v>
      </c>
      <c r="D55" s="138"/>
      <c r="E55" s="139" t="s">
        <v>110</v>
      </c>
      <c r="F55" s="140">
        <f>3*1</f>
        <v>3</v>
      </c>
      <c r="G55" s="96">
        <v>7.0000000000000007E-2</v>
      </c>
      <c r="H55" s="141">
        <f t="shared" si="24"/>
        <v>3.21</v>
      </c>
      <c r="I55" s="142" t="s">
        <v>111</v>
      </c>
      <c r="J55" s="155">
        <f>J$39</f>
        <v>0</v>
      </c>
      <c r="K55" s="97">
        <f t="shared" si="25"/>
        <v>0</v>
      </c>
      <c r="L55" s="144"/>
      <c r="M55" s="16"/>
      <c r="N55" s="16"/>
      <c r="O55" s="16"/>
      <c r="P55" s="16"/>
      <c r="Q55" s="16"/>
      <c r="R55" s="16"/>
      <c r="S55" s="16"/>
      <c r="T55" s="16"/>
      <c r="U55" s="16"/>
      <c r="V55" s="16"/>
      <c r="W55" s="16"/>
      <c r="X55" s="16"/>
      <c r="Y55" s="16"/>
      <c r="Z55" s="16"/>
      <c r="AA55" s="16"/>
      <c r="AB55" s="16"/>
      <c r="AC55" s="16"/>
      <c r="AD55" s="16"/>
      <c r="AE55" s="16"/>
      <c r="AF55" s="16"/>
      <c r="AG55" s="16"/>
      <c r="AH55" s="16"/>
      <c r="AI55" s="16"/>
      <c r="AJ55" s="16"/>
      <c r="AK55" s="16"/>
      <c r="AL55" s="16"/>
      <c r="AM55" s="16"/>
      <c r="AN55" s="16"/>
      <c r="AO55" s="16"/>
      <c r="AP55" s="16"/>
      <c r="AQ55" s="16"/>
      <c r="AR55" s="16"/>
      <c r="AS55" s="16"/>
      <c r="AT55" s="16"/>
      <c r="AU55" s="16"/>
      <c r="AV55" s="16"/>
      <c r="AW55" s="16"/>
      <c r="AX55" s="16"/>
      <c r="AY55" s="16"/>
      <c r="AZ55" s="16"/>
      <c r="BA55" s="16"/>
      <c r="BB55" s="16"/>
      <c r="BC55" s="16"/>
      <c r="BD55" s="16"/>
      <c r="BE55" s="16"/>
      <c r="BF55" s="16"/>
      <c r="BG55" s="16"/>
      <c r="BH55" s="16"/>
      <c r="BI55" s="16"/>
      <c r="BJ55" s="16"/>
      <c r="BK55" s="16"/>
      <c r="BL55" s="16"/>
      <c r="BM55" s="16"/>
      <c r="BN55" s="16"/>
      <c r="BO55" s="16"/>
      <c r="BP55" s="16"/>
      <c r="BQ55" s="16"/>
      <c r="BR55" s="16"/>
      <c r="BS55" s="16"/>
      <c r="BT55" s="16"/>
      <c r="BU55" s="16"/>
      <c r="BV55" s="16"/>
    </row>
    <row r="56" spans="1:74" s="15" customFormat="1" ht="18.75" x14ac:dyDescent="0.2">
      <c r="A56" s="136">
        <f>IF(F56&lt;&gt;"",1+MAX($A$1:A55),"")</f>
        <v>29</v>
      </c>
      <c r="B56" s="137" t="s">
        <v>186</v>
      </c>
      <c r="C56" s="137" t="s">
        <v>190</v>
      </c>
      <c r="D56" s="138"/>
      <c r="E56" s="139" t="s">
        <v>112</v>
      </c>
      <c r="F56" s="165">
        <f>3*1.5*2/27</f>
        <v>0.33333333333333331</v>
      </c>
      <c r="G56" s="96">
        <v>7.0000000000000007E-2</v>
      </c>
      <c r="H56" s="166">
        <f t="shared" si="24"/>
        <v>0.35666666666666669</v>
      </c>
      <c r="I56" s="142" t="s">
        <v>108</v>
      </c>
      <c r="J56" s="155">
        <f>J$40</f>
        <v>0</v>
      </c>
      <c r="K56" s="97">
        <f t="shared" si="25"/>
        <v>0</v>
      </c>
      <c r="L56" s="144"/>
      <c r="M56" s="16"/>
      <c r="N56" s="16"/>
      <c r="O56" s="16"/>
      <c r="P56" s="16"/>
      <c r="Q56" s="16"/>
      <c r="R56" s="16"/>
      <c r="S56" s="16"/>
      <c r="T56" s="16"/>
      <c r="U56" s="16"/>
      <c r="V56" s="16"/>
      <c r="W56" s="16"/>
      <c r="X56" s="16"/>
      <c r="Y56" s="16"/>
      <c r="Z56" s="16"/>
      <c r="AA56" s="16"/>
      <c r="AB56" s="16"/>
      <c r="AC56" s="16"/>
      <c r="AD56" s="16"/>
      <c r="AE56" s="16"/>
      <c r="AF56" s="16"/>
      <c r="AG56" s="16"/>
      <c r="AH56" s="16"/>
      <c r="AI56" s="16"/>
      <c r="AJ56" s="16"/>
      <c r="AK56" s="16"/>
      <c r="AL56" s="16"/>
      <c r="AM56" s="16"/>
      <c r="AN56" s="16"/>
      <c r="AO56" s="16"/>
      <c r="AP56" s="16"/>
      <c r="AQ56" s="16"/>
      <c r="AR56" s="16"/>
      <c r="AS56" s="16"/>
      <c r="AT56" s="16"/>
      <c r="AU56" s="16"/>
      <c r="AV56" s="16"/>
      <c r="AW56" s="16"/>
      <c r="AX56" s="16"/>
      <c r="AY56" s="16"/>
      <c r="AZ56" s="16"/>
      <c r="BA56" s="16"/>
      <c r="BB56" s="16"/>
      <c r="BC56" s="16"/>
      <c r="BD56" s="16"/>
      <c r="BE56" s="16"/>
      <c r="BF56" s="16"/>
      <c r="BG56" s="16"/>
      <c r="BH56" s="16"/>
      <c r="BI56" s="16"/>
      <c r="BJ56" s="16"/>
      <c r="BK56" s="16"/>
      <c r="BL56" s="16"/>
      <c r="BM56" s="16"/>
      <c r="BN56" s="16"/>
      <c r="BO56" s="16"/>
      <c r="BP56" s="16"/>
      <c r="BQ56" s="16"/>
      <c r="BR56" s="16"/>
      <c r="BS56" s="16"/>
      <c r="BT56" s="16"/>
      <c r="BU56" s="16"/>
      <c r="BV56" s="16"/>
    </row>
    <row r="57" spans="1:74" s="15" customFormat="1" ht="18.75" x14ac:dyDescent="0.2">
      <c r="A57" s="136" t="str">
        <f>IF(F57&lt;&gt;"",1+MAX($A$1:A56),"")</f>
        <v/>
      </c>
      <c r="B57" s="145"/>
      <c r="C57" s="137"/>
      <c r="D57" s="138"/>
      <c r="E57" s="139"/>
      <c r="F57" s="140"/>
      <c r="G57" s="96"/>
      <c r="H57" s="141"/>
      <c r="I57" s="142"/>
      <c r="J57" s="155"/>
      <c r="K57" s="97"/>
      <c r="L57" s="144"/>
      <c r="M57" s="16"/>
      <c r="N57" s="16"/>
      <c r="O57" s="16"/>
      <c r="P57" s="16"/>
      <c r="Q57" s="16"/>
      <c r="R57" s="16"/>
      <c r="S57" s="16"/>
      <c r="T57" s="16"/>
      <c r="U57" s="16"/>
      <c r="V57" s="16"/>
      <c r="W57" s="16"/>
      <c r="X57" s="16"/>
      <c r="Y57" s="16"/>
      <c r="Z57" s="16"/>
      <c r="AA57" s="16"/>
      <c r="AB57" s="16"/>
      <c r="AC57" s="16"/>
      <c r="AD57" s="16"/>
      <c r="AE57" s="16"/>
      <c r="AF57" s="16"/>
      <c r="AG57" s="16"/>
      <c r="AH57" s="16"/>
      <c r="AI57" s="16"/>
      <c r="AJ57" s="16"/>
      <c r="AK57" s="16"/>
      <c r="AL57" s="16"/>
      <c r="AM57" s="16"/>
      <c r="AN57" s="16"/>
      <c r="AO57" s="16"/>
      <c r="AP57" s="16"/>
      <c r="AQ57" s="16"/>
      <c r="AR57" s="16"/>
      <c r="AS57" s="16"/>
      <c r="AT57" s="16"/>
      <c r="AU57" s="16"/>
      <c r="AV57" s="16"/>
      <c r="AW57" s="16"/>
      <c r="AX57" s="16"/>
      <c r="AY57" s="16"/>
      <c r="AZ57" s="16"/>
      <c r="BA57" s="16"/>
      <c r="BB57" s="16"/>
      <c r="BC57" s="16"/>
      <c r="BD57" s="16"/>
      <c r="BE57" s="16"/>
      <c r="BF57" s="16"/>
      <c r="BG57" s="16"/>
      <c r="BH57" s="16"/>
      <c r="BI57" s="16"/>
      <c r="BJ57" s="16"/>
      <c r="BK57" s="16"/>
      <c r="BL57" s="16"/>
      <c r="BM57" s="16"/>
      <c r="BN57" s="16"/>
      <c r="BO57" s="16"/>
      <c r="BP57" s="16"/>
      <c r="BQ57" s="16"/>
      <c r="BR57" s="16"/>
      <c r="BS57" s="16"/>
      <c r="BT57" s="16"/>
      <c r="BU57" s="16"/>
      <c r="BV57" s="16"/>
    </row>
    <row r="58" spans="1:74" s="15" customFormat="1" ht="63" x14ac:dyDescent="0.2">
      <c r="A58" s="136" t="str">
        <f>IF(F58&lt;&gt;"",1+MAX($A$1:A57),"")</f>
        <v/>
      </c>
      <c r="B58" s="145"/>
      <c r="C58" s="137"/>
      <c r="D58" s="138"/>
      <c r="E58" s="164" t="s">
        <v>203</v>
      </c>
      <c r="F58" s="140"/>
      <c r="G58" s="96"/>
      <c r="H58" s="141"/>
      <c r="I58" s="150"/>
      <c r="J58" s="21"/>
      <c r="K58" s="97"/>
      <c r="L58" s="144"/>
      <c r="M58" s="16"/>
      <c r="N58" s="16"/>
      <c r="O58" s="16"/>
      <c r="P58" s="16"/>
      <c r="Q58" s="16"/>
      <c r="R58" s="16"/>
      <c r="S58" s="16"/>
      <c r="T58" s="16"/>
      <c r="U58" s="16"/>
      <c r="V58" s="16"/>
      <c r="W58" s="16"/>
      <c r="X58" s="16"/>
      <c r="Y58" s="16"/>
      <c r="Z58" s="16"/>
      <c r="AA58" s="16"/>
      <c r="AB58" s="16"/>
      <c r="AC58" s="16"/>
      <c r="AD58" s="16"/>
      <c r="AE58" s="16"/>
      <c r="AF58" s="16"/>
      <c r="AG58" s="16"/>
      <c r="AH58" s="16"/>
      <c r="AI58" s="16"/>
      <c r="AJ58" s="16"/>
      <c r="AK58" s="16"/>
      <c r="AL58" s="16"/>
      <c r="AM58" s="16"/>
      <c r="AN58" s="16"/>
      <c r="AO58" s="16"/>
      <c r="AP58" s="16"/>
      <c r="AQ58" s="16"/>
      <c r="AR58" s="16"/>
      <c r="AS58" s="16"/>
      <c r="AT58" s="16"/>
      <c r="AU58" s="16"/>
      <c r="AV58" s="16"/>
      <c r="AW58" s="16"/>
      <c r="AX58" s="16"/>
      <c r="AY58" s="16"/>
      <c r="AZ58" s="16"/>
      <c r="BA58" s="16"/>
      <c r="BB58" s="16"/>
      <c r="BC58" s="16"/>
      <c r="BD58" s="16"/>
      <c r="BE58" s="16"/>
      <c r="BF58" s="16"/>
      <c r="BG58" s="16"/>
      <c r="BH58" s="16"/>
      <c r="BI58" s="16"/>
      <c r="BJ58" s="16"/>
      <c r="BK58" s="16"/>
      <c r="BL58" s="16"/>
      <c r="BM58" s="16"/>
      <c r="BN58" s="16"/>
      <c r="BO58" s="16"/>
      <c r="BP58" s="16"/>
      <c r="BQ58" s="16"/>
      <c r="BR58" s="16"/>
      <c r="BS58" s="16"/>
      <c r="BT58" s="16"/>
      <c r="BU58" s="16"/>
      <c r="BV58" s="16"/>
    </row>
    <row r="59" spans="1:74" s="15" customFormat="1" ht="18.75" x14ac:dyDescent="0.2">
      <c r="A59" s="136">
        <f>IF(F59&lt;&gt;"",1+MAX($A$1:A58),"")</f>
        <v>30</v>
      </c>
      <c r="B59" s="137" t="s">
        <v>186</v>
      </c>
      <c r="C59" s="137" t="s">
        <v>190</v>
      </c>
      <c r="D59" s="138"/>
      <c r="E59" s="139" t="s">
        <v>195</v>
      </c>
      <c r="F59" s="167">
        <f>3*1*7.334/27</f>
        <v>0.81488888888888888</v>
      </c>
      <c r="G59" s="96">
        <v>7.0000000000000007E-2</v>
      </c>
      <c r="H59" s="141">
        <f t="shared" ref="H59:H63" si="27">F59*(1+G59)</f>
        <v>0.87193111111111121</v>
      </c>
      <c r="I59" s="142" t="s">
        <v>108</v>
      </c>
      <c r="J59" s="21">
        <f>J$36</f>
        <v>0</v>
      </c>
      <c r="K59" s="97">
        <f t="shared" ref="K59:K63" si="28">J59*H59</f>
        <v>0</v>
      </c>
      <c r="L59" s="144"/>
      <c r="M59" s="16"/>
      <c r="N59" s="16"/>
      <c r="O59" s="16"/>
      <c r="P59" s="16"/>
      <c r="Q59" s="16"/>
      <c r="R59" s="16"/>
      <c r="S59" s="16"/>
      <c r="T59" s="16"/>
      <c r="U59" s="16"/>
      <c r="V59" s="16"/>
      <c r="W59" s="16"/>
      <c r="X59" s="16"/>
      <c r="Y59" s="16"/>
      <c r="Z59" s="16"/>
      <c r="AA59" s="16"/>
      <c r="AB59" s="16"/>
      <c r="AC59" s="16"/>
      <c r="AD59" s="16"/>
      <c r="AE59" s="16"/>
      <c r="AF59" s="16"/>
      <c r="AG59" s="16"/>
      <c r="AH59" s="16"/>
      <c r="AI59" s="16"/>
      <c r="AJ59" s="16"/>
      <c r="AK59" s="16"/>
      <c r="AL59" s="16"/>
      <c r="AM59" s="16"/>
      <c r="AN59" s="16"/>
      <c r="AO59" s="16"/>
      <c r="AP59" s="16"/>
      <c r="AQ59" s="16"/>
      <c r="AR59" s="16"/>
      <c r="AS59" s="16"/>
      <c r="AT59" s="16"/>
      <c r="AU59" s="16"/>
      <c r="AV59" s="16"/>
      <c r="AW59" s="16"/>
      <c r="AX59" s="16"/>
      <c r="AY59" s="16"/>
      <c r="AZ59" s="16"/>
      <c r="BA59" s="16"/>
      <c r="BB59" s="16"/>
      <c r="BC59" s="16"/>
      <c r="BD59" s="16"/>
      <c r="BE59" s="16"/>
      <c r="BF59" s="16"/>
      <c r="BG59" s="16"/>
      <c r="BH59" s="16"/>
      <c r="BI59" s="16"/>
      <c r="BJ59" s="16"/>
      <c r="BK59" s="16"/>
      <c r="BL59" s="16"/>
      <c r="BM59" s="16"/>
      <c r="BN59" s="16"/>
      <c r="BO59" s="16"/>
      <c r="BP59" s="16"/>
      <c r="BQ59" s="16"/>
      <c r="BR59" s="16"/>
      <c r="BS59" s="16"/>
      <c r="BT59" s="16"/>
      <c r="BU59" s="16"/>
      <c r="BV59" s="16"/>
    </row>
    <row r="60" spans="1:74" s="15" customFormat="1" ht="18.75" x14ac:dyDescent="0.2">
      <c r="A60" s="136">
        <f>IF(F60&lt;&gt;"",1+MAX($A$1:A59),"")</f>
        <v>31</v>
      </c>
      <c r="B60" s="137" t="s">
        <v>186</v>
      </c>
      <c r="C60" s="137" t="s">
        <v>190</v>
      </c>
      <c r="D60" s="138"/>
      <c r="E60" s="139" t="s">
        <v>199</v>
      </c>
      <c r="F60" s="140">
        <f>2*3*0.668*1.2*3</f>
        <v>14.428799999999999</v>
      </c>
      <c r="G60" s="96">
        <v>7.0000000000000007E-2</v>
      </c>
      <c r="H60" s="141">
        <f t="shared" si="27"/>
        <v>15.438815999999999</v>
      </c>
      <c r="I60" s="142" t="s">
        <v>109</v>
      </c>
      <c r="J60" s="155">
        <f t="shared" ref="J60:J61" si="29">J$37</f>
        <v>0</v>
      </c>
      <c r="K60" s="97">
        <f t="shared" si="28"/>
        <v>0</v>
      </c>
      <c r="L60" s="144"/>
      <c r="M60" s="16"/>
      <c r="N60" s="16"/>
      <c r="O60" s="16"/>
      <c r="P60" s="16"/>
      <c r="Q60" s="16"/>
      <c r="R60" s="16"/>
      <c r="S60" s="16"/>
      <c r="T60" s="16"/>
      <c r="U60" s="16"/>
      <c r="V60" s="16"/>
      <c r="W60" s="16"/>
      <c r="X60" s="16"/>
      <c r="Y60" s="16"/>
      <c r="Z60" s="16"/>
      <c r="AA60" s="16"/>
      <c r="AB60" s="16"/>
      <c r="AC60" s="16"/>
      <c r="AD60" s="16"/>
      <c r="AE60" s="16"/>
      <c r="AF60" s="16"/>
      <c r="AG60" s="16"/>
      <c r="AH60" s="16"/>
      <c r="AI60" s="16"/>
      <c r="AJ60" s="16"/>
      <c r="AK60" s="16"/>
      <c r="AL60" s="16"/>
      <c r="AM60" s="16"/>
      <c r="AN60" s="16"/>
      <c r="AO60" s="16"/>
      <c r="AP60" s="16"/>
      <c r="AQ60" s="16"/>
      <c r="AR60" s="16"/>
      <c r="AS60" s="16"/>
      <c r="AT60" s="16"/>
      <c r="AU60" s="16"/>
      <c r="AV60" s="16"/>
      <c r="AW60" s="16"/>
      <c r="AX60" s="16"/>
      <c r="AY60" s="16"/>
      <c r="AZ60" s="16"/>
      <c r="BA60" s="16"/>
      <c r="BB60" s="16"/>
      <c r="BC60" s="16"/>
      <c r="BD60" s="16"/>
      <c r="BE60" s="16"/>
      <c r="BF60" s="16"/>
      <c r="BG60" s="16"/>
      <c r="BH60" s="16"/>
      <c r="BI60" s="16"/>
      <c r="BJ60" s="16"/>
      <c r="BK60" s="16"/>
      <c r="BL60" s="16"/>
      <c r="BM60" s="16"/>
      <c r="BN60" s="16"/>
      <c r="BO60" s="16"/>
      <c r="BP60" s="16"/>
      <c r="BQ60" s="16"/>
      <c r="BR60" s="16"/>
      <c r="BS60" s="16"/>
      <c r="BT60" s="16"/>
      <c r="BU60" s="16"/>
      <c r="BV60" s="16"/>
    </row>
    <row r="61" spans="1:74" s="15" customFormat="1" ht="18.75" x14ac:dyDescent="0.2">
      <c r="A61" s="136">
        <f>IF(F61&lt;&gt;"",1+MAX($A$1:A60),"")</f>
        <v>32</v>
      </c>
      <c r="B61" s="137" t="s">
        <v>186</v>
      </c>
      <c r="C61" s="137" t="s">
        <v>190</v>
      </c>
      <c r="D61" s="138"/>
      <c r="E61" s="139" t="s">
        <v>200</v>
      </c>
      <c r="F61" s="140">
        <f>((3*12/16)+1)*7.334*0.668*1.2*2</f>
        <v>38.213073600000001</v>
      </c>
      <c r="G61" s="96">
        <v>7.0000000000000007E-2</v>
      </c>
      <c r="H61" s="141">
        <f t="shared" si="27"/>
        <v>40.887988752000005</v>
      </c>
      <c r="I61" s="142" t="s">
        <v>109</v>
      </c>
      <c r="J61" s="155">
        <f t="shared" si="29"/>
        <v>0</v>
      </c>
      <c r="K61" s="97">
        <f t="shared" si="28"/>
        <v>0</v>
      </c>
      <c r="L61" s="144"/>
      <c r="M61" s="16"/>
      <c r="N61" s="16"/>
      <c r="O61" s="16"/>
      <c r="P61" s="16"/>
      <c r="Q61" s="16"/>
      <c r="R61" s="16"/>
      <c r="S61" s="16"/>
      <c r="T61" s="16"/>
      <c r="U61" s="16"/>
      <c r="V61" s="16"/>
      <c r="W61" s="16"/>
      <c r="X61" s="16"/>
      <c r="Y61" s="16"/>
      <c r="Z61" s="16"/>
      <c r="AA61" s="16"/>
      <c r="AB61" s="16"/>
      <c r="AC61" s="16"/>
      <c r="AD61" s="16"/>
      <c r="AE61" s="16"/>
      <c r="AF61" s="16"/>
      <c r="AG61" s="16"/>
      <c r="AH61" s="16"/>
      <c r="AI61" s="16"/>
      <c r="AJ61" s="16"/>
      <c r="AK61" s="16"/>
      <c r="AL61" s="16"/>
      <c r="AM61" s="16"/>
      <c r="AN61" s="16"/>
      <c r="AO61" s="16"/>
      <c r="AP61" s="16"/>
      <c r="AQ61" s="16"/>
      <c r="AR61" s="16"/>
      <c r="AS61" s="16"/>
      <c r="AT61" s="16"/>
      <c r="AU61" s="16"/>
      <c r="AV61" s="16"/>
      <c r="AW61" s="16"/>
      <c r="AX61" s="16"/>
      <c r="AY61" s="16"/>
      <c r="AZ61" s="16"/>
      <c r="BA61" s="16"/>
      <c r="BB61" s="16"/>
      <c r="BC61" s="16"/>
      <c r="BD61" s="16"/>
      <c r="BE61" s="16"/>
      <c r="BF61" s="16"/>
      <c r="BG61" s="16"/>
      <c r="BH61" s="16"/>
      <c r="BI61" s="16"/>
      <c r="BJ61" s="16"/>
      <c r="BK61" s="16"/>
      <c r="BL61" s="16"/>
      <c r="BM61" s="16"/>
      <c r="BN61" s="16"/>
      <c r="BO61" s="16"/>
      <c r="BP61" s="16"/>
      <c r="BQ61" s="16"/>
      <c r="BR61" s="16"/>
      <c r="BS61" s="16"/>
      <c r="BT61" s="16"/>
      <c r="BU61" s="16"/>
      <c r="BV61" s="16"/>
    </row>
    <row r="62" spans="1:74" s="15" customFormat="1" ht="18.75" x14ac:dyDescent="0.2">
      <c r="A62" s="136">
        <f>IF(F62&lt;&gt;"",1+MAX($A$1:A61),"")</f>
        <v>33</v>
      </c>
      <c r="B62" s="137" t="s">
        <v>186</v>
      </c>
      <c r="C62" s="137" t="s">
        <v>190</v>
      </c>
      <c r="D62" s="138"/>
      <c r="E62" s="139" t="s">
        <v>110</v>
      </c>
      <c r="F62" s="140">
        <f>3*7.334</f>
        <v>22.001999999999999</v>
      </c>
      <c r="G62" s="96">
        <v>7.0000000000000007E-2</v>
      </c>
      <c r="H62" s="141">
        <f t="shared" si="27"/>
        <v>23.54214</v>
      </c>
      <c r="I62" s="142" t="s">
        <v>111</v>
      </c>
      <c r="J62" s="155">
        <f>J$39</f>
        <v>0</v>
      </c>
      <c r="K62" s="97">
        <f t="shared" si="28"/>
        <v>0</v>
      </c>
      <c r="L62" s="144"/>
      <c r="M62" s="16"/>
      <c r="N62" s="16"/>
      <c r="O62" s="16"/>
      <c r="P62" s="16"/>
      <c r="Q62" s="16"/>
      <c r="R62" s="16"/>
      <c r="S62" s="16"/>
      <c r="T62" s="16"/>
      <c r="U62" s="16"/>
      <c r="V62" s="16"/>
      <c r="W62" s="16"/>
      <c r="X62" s="16"/>
      <c r="Y62" s="16"/>
      <c r="Z62" s="16"/>
      <c r="AA62" s="16"/>
      <c r="AB62" s="16"/>
      <c r="AC62" s="16"/>
      <c r="AD62" s="16"/>
      <c r="AE62" s="16"/>
      <c r="AF62" s="16"/>
      <c r="AG62" s="16"/>
      <c r="AH62" s="16"/>
      <c r="AI62" s="16"/>
      <c r="AJ62" s="16"/>
      <c r="AK62" s="16"/>
      <c r="AL62" s="16"/>
      <c r="AM62" s="16"/>
      <c r="AN62" s="16"/>
      <c r="AO62" s="16"/>
      <c r="AP62" s="16"/>
      <c r="AQ62" s="16"/>
      <c r="AR62" s="16"/>
      <c r="AS62" s="16"/>
      <c r="AT62" s="16"/>
      <c r="AU62" s="16"/>
      <c r="AV62" s="16"/>
      <c r="AW62" s="16"/>
      <c r="AX62" s="16"/>
      <c r="AY62" s="16"/>
      <c r="AZ62" s="16"/>
      <c r="BA62" s="16"/>
      <c r="BB62" s="16"/>
      <c r="BC62" s="16"/>
      <c r="BD62" s="16"/>
      <c r="BE62" s="16"/>
      <c r="BF62" s="16"/>
      <c r="BG62" s="16"/>
      <c r="BH62" s="16"/>
      <c r="BI62" s="16"/>
      <c r="BJ62" s="16"/>
      <c r="BK62" s="16"/>
      <c r="BL62" s="16"/>
      <c r="BM62" s="16"/>
      <c r="BN62" s="16"/>
      <c r="BO62" s="16"/>
      <c r="BP62" s="16"/>
      <c r="BQ62" s="16"/>
      <c r="BR62" s="16"/>
      <c r="BS62" s="16"/>
      <c r="BT62" s="16"/>
      <c r="BU62" s="16"/>
      <c r="BV62" s="16"/>
    </row>
    <row r="63" spans="1:74" s="15" customFormat="1" ht="18.75" x14ac:dyDescent="0.2">
      <c r="A63" s="136">
        <f>IF(F63&lt;&gt;"",1+MAX($A$1:A62),"")</f>
        <v>34</v>
      </c>
      <c r="B63" s="137" t="s">
        <v>186</v>
      </c>
      <c r="C63" s="137" t="s">
        <v>190</v>
      </c>
      <c r="D63" s="138"/>
      <c r="E63" s="139" t="s">
        <v>112</v>
      </c>
      <c r="F63" s="167">
        <f>3*1*7.334/27</f>
        <v>0.81488888888888888</v>
      </c>
      <c r="G63" s="96">
        <v>7.0000000000000007E-2</v>
      </c>
      <c r="H63" s="141">
        <f t="shared" si="27"/>
        <v>0.87193111111111121</v>
      </c>
      <c r="I63" s="142" t="s">
        <v>108</v>
      </c>
      <c r="J63" s="155">
        <f>J$40</f>
        <v>0</v>
      </c>
      <c r="K63" s="97">
        <f t="shared" si="28"/>
        <v>0</v>
      </c>
      <c r="L63" s="144"/>
      <c r="M63" s="16"/>
      <c r="N63" s="16"/>
      <c r="O63" s="16"/>
      <c r="P63" s="16"/>
      <c r="Q63" s="16"/>
      <c r="R63" s="16"/>
      <c r="S63" s="16"/>
      <c r="T63" s="16"/>
      <c r="U63" s="16"/>
      <c r="V63" s="16"/>
      <c r="W63" s="16"/>
      <c r="X63" s="16"/>
      <c r="Y63" s="16"/>
      <c r="Z63" s="16"/>
      <c r="AA63" s="16"/>
      <c r="AB63" s="16"/>
      <c r="AC63" s="16"/>
      <c r="AD63" s="16"/>
      <c r="AE63" s="16"/>
      <c r="AF63" s="16"/>
      <c r="AG63" s="16"/>
      <c r="AH63" s="16"/>
      <c r="AI63" s="16"/>
      <c r="AJ63" s="16"/>
      <c r="AK63" s="16"/>
      <c r="AL63" s="16"/>
      <c r="AM63" s="16"/>
      <c r="AN63" s="16"/>
      <c r="AO63" s="16"/>
      <c r="AP63" s="16"/>
      <c r="AQ63" s="16"/>
      <c r="AR63" s="16"/>
      <c r="AS63" s="16"/>
      <c r="AT63" s="16"/>
      <c r="AU63" s="16"/>
      <c r="AV63" s="16"/>
      <c r="AW63" s="16"/>
      <c r="AX63" s="16"/>
      <c r="AY63" s="16"/>
      <c r="AZ63" s="16"/>
      <c r="BA63" s="16"/>
      <c r="BB63" s="16"/>
      <c r="BC63" s="16"/>
      <c r="BD63" s="16"/>
      <c r="BE63" s="16"/>
      <c r="BF63" s="16"/>
      <c r="BG63" s="16"/>
      <c r="BH63" s="16"/>
      <c r="BI63" s="16"/>
      <c r="BJ63" s="16"/>
      <c r="BK63" s="16"/>
      <c r="BL63" s="16"/>
      <c r="BM63" s="16"/>
      <c r="BN63" s="16"/>
      <c r="BO63" s="16"/>
      <c r="BP63" s="16"/>
      <c r="BQ63" s="16"/>
      <c r="BR63" s="16"/>
      <c r="BS63" s="16"/>
      <c r="BT63" s="16"/>
      <c r="BU63" s="16"/>
      <c r="BV63" s="16"/>
    </row>
    <row r="64" spans="1:74" s="15" customFormat="1" ht="18.75" x14ac:dyDescent="0.2">
      <c r="A64" s="136" t="str">
        <f>IF(F64&lt;&gt;"",1+MAX($A$1:A63),"")</f>
        <v/>
      </c>
      <c r="B64" s="145"/>
      <c r="C64" s="137"/>
      <c r="D64" s="138"/>
      <c r="E64" s="139"/>
      <c r="F64" s="140"/>
      <c r="G64" s="96"/>
      <c r="H64" s="141"/>
      <c r="I64" s="142"/>
      <c r="J64" s="155"/>
      <c r="K64" s="97"/>
      <c r="L64" s="144"/>
      <c r="M64" s="16"/>
      <c r="N64" s="16"/>
      <c r="O64" s="16"/>
      <c r="P64" s="16"/>
      <c r="Q64" s="16"/>
      <c r="R64" s="16"/>
      <c r="S64" s="16"/>
      <c r="T64" s="16"/>
      <c r="U64" s="16"/>
      <c r="V64" s="16"/>
      <c r="W64" s="16"/>
      <c r="X64" s="16"/>
      <c r="Y64" s="16"/>
      <c r="Z64" s="16"/>
      <c r="AA64" s="16"/>
      <c r="AB64" s="16"/>
      <c r="AC64" s="16"/>
      <c r="AD64" s="16"/>
      <c r="AE64" s="16"/>
      <c r="AF64" s="16"/>
      <c r="AG64" s="16"/>
      <c r="AH64" s="16"/>
      <c r="AI64" s="16"/>
      <c r="AJ64" s="16"/>
      <c r="AK64" s="16"/>
      <c r="AL64" s="16"/>
      <c r="AM64" s="16"/>
      <c r="AN64" s="16"/>
      <c r="AO64" s="16"/>
      <c r="AP64" s="16"/>
      <c r="AQ64" s="16"/>
      <c r="AR64" s="16"/>
      <c r="AS64" s="16"/>
      <c r="AT64" s="16"/>
      <c r="AU64" s="16"/>
      <c r="AV64" s="16"/>
      <c r="AW64" s="16"/>
      <c r="AX64" s="16"/>
      <c r="AY64" s="16"/>
      <c r="AZ64" s="16"/>
      <c r="BA64" s="16"/>
      <c r="BB64" s="16"/>
      <c r="BC64" s="16"/>
      <c r="BD64" s="16"/>
      <c r="BE64" s="16"/>
      <c r="BF64" s="16"/>
      <c r="BG64" s="16"/>
      <c r="BH64" s="16"/>
      <c r="BI64" s="16"/>
      <c r="BJ64" s="16"/>
      <c r="BK64" s="16"/>
      <c r="BL64" s="16"/>
      <c r="BM64" s="16"/>
      <c r="BN64" s="16"/>
      <c r="BO64" s="16"/>
      <c r="BP64" s="16"/>
      <c r="BQ64" s="16"/>
      <c r="BR64" s="16"/>
      <c r="BS64" s="16"/>
      <c r="BT64" s="16"/>
      <c r="BU64" s="16"/>
      <c r="BV64" s="16"/>
    </row>
    <row r="65" spans="1:74" s="15" customFormat="1" ht="18.75" x14ac:dyDescent="0.2">
      <c r="A65" s="136">
        <f>IF(F65&lt;&gt;"",1+MAX($A$1:A64),"")</f>
        <v>35</v>
      </c>
      <c r="B65" s="145"/>
      <c r="C65" s="137"/>
      <c r="D65" s="138"/>
      <c r="E65" s="164" t="s">
        <v>220</v>
      </c>
      <c r="F65" s="140">
        <v>25</v>
      </c>
      <c r="G65" s="96">
        <v>0</v>
      </c>
      <c r="H65" s="141">
        <f t="shared" ref="H65" si="30">F65*(1+G65)</f>
        <v>25</v>
      </c>
      <c r="I65" s="142" t="s">
        <v>201</v>
      </c>
      <c r="J65" s="140">
        <f>SUM(K51:K64)</f>
        <v>0</v>
      </c>
      <c r="K65" s="97">
        <f>J65*H65</f>
        <v>0</v>
      </c>
      <c r="L65" s="144"/>
      <c r="M65" s="16"/>
      <c r="N65" s="16"/>
      <c r="O65" s="16"/>
      <c r="P65" s="16"/>
      <c r="Q65" s="16"/>
      <c r="R65" s="16"/>
      <c r="S65" s="16"/>
      <c r="T65" s="16"/>
      <c r="U65" s="16"/>
      <c r="V65" s="16"/>
      <c r="W65" s="16"/>
      <c r="X65" s="16"/>
      <c r="Y65" s="16"/>
      <c r="Z65" s="16"/>
      <c r="AA65" s="16"/>
      <c r="AB65" s="16"/>
      <c r="AC65" s="16"/>
      <c r="AD65" s="16"/>
      <c r="AE65" s="16"/>
      <c r="AF65" s="16"/>
      <c r="AG65" s="16"/>
      <c r="AH65" s="16"/>
      <c r="AI65" s="16"/>
      <c r="AJ65" s="16"/>
      <c r="AK65" s="16"/>
      <c r="AL65" s="16"/>
      <c r="AM65" s="16"/>
      <c r="AN65" s="16"/>
      <c r="AO65" s="16"/>
      <c r="AP65" s="16"/>
      <c r="AQ65" s="16"/>
      <c r="AR65" s="16"/>
      <c r="AS65" s="16"/>
      <c r="AT65" s="16"/>
      <c r="AU65" s="16"/>
      <c r="AV65" s="16"/>
      <c r="AW65" s="16"/>
      <c r="AX65" s="16"/>
      <c r="AY65" s="16"/>
      <c r="AZ65" s="16"/>
      <c r="BA65" s="16"/>
      <c r="BB65" s="16"/>
      <c r="BC65" s="16"/>
      <c r="BD65" s="16"/>
      <c r="BE65" s="16"/>
      <c r="BF65" s="16"/>
      <c r="BG65" s="16"/>
      <c r="BH65" s="16"/>
      <c r="BI65" s="16"/>
      <c r="BJ65" s="16"/>
      <c r="BK65" s="16"/>
      <c r="BL65" s="16"/>
      <c r="BM65" s="16"/>
      <c r="BN65" s="16"/>
      <c r="BO65" s="16"/>
      <c r="BP65" s="16"/>
      <c r="BQ65" s="16"/>
      <c r="BR65" s="16"/>
      <c r="BS65" s="16"/>
      <c r="BT65" s="16"/>
      <c r="BU65" s="16"/>
      <c r="BV65" s="16"/>
    </row>
    <row r="66" spans="1:74" s="16" customFormat="1" ht="18.75" x14ac:dyDescent="0.2">
      <c r="A66" s="136" t="str">
        <f>IF(F66&lt;&gt;"",1+MAX($A$1:A65),"")</f>
        <v/>
      </c>
      <c r="B66" s="145"/>
      <c r="C66" s="137"/>
      <c r="D66" s="138"/>
      <c r="E66" s="164"/>
      <c r="F66" s="140"/>
      <c r="G66" s="96"/>
      <c r="H66" s="141"/>
      <c r="I66" s="142"/>
      <c r="J66" s="140"/>
      <c r="K66" s="97"/>
      <c r="L66" s="144"/>
    </row>
    <row r="67" spans="1:74" s="15" customFormat="1" ht="63" x14ac:dyDescent="0.2">
      <c r="A67" s="136" t="str">
        <f>IF(F67&lt;&gt;"",1+MAX($A$1:A66),"")</f>
        <v/>
      </c>
      <c r="B67" s="145"/>
      <c r="C67" s="137"/>
      <c r="D67" s="138"/>
      <c r="E67" s="164" t="s">
        <v>204</v>
      </c>
      <c r="F67" s="140"/>
      <c r="G67" s="96"/>
      <c r="H67" s="141"/>
      <c r="I67" s="150"/>
      <c r="J67" s="21"/>
      <c r="K67" s="97"/>
      <c r="L67" s="144"/>
      <c r="M67" s="16"/>
      <c r="N67" s="16"/>
      <c r="O67" s="16"/>
      <c r="P67" s="16"/>
      <c r="Q67" s="16"/>
      <c r="R67" s="16"/>
      <c r="S67" s="16"/>
      <c r="T67" s="16"/>
      <c r="U67" s="16"/>
      <c r="V67" s="16"/>
      <c r="W67" s="16"/>
      <c r="X67" s="16"/>
      <c r="Y67" s="16"/>
      <c r="Z67" s="16"/>
      <c r="AA67" s="16"/>
      <c r="AB67" s="16"/>
      <c r="AC67" s="16"/>
      <c r="AD67" s="16"/>
      <c r="AE67" s="16"/>
      <c r="AF67" s="16"/>
      <c r="AG67" s="16"/>
      <c r="AH67" s="16"/>
      <c r="AI67" s="16"/>
      <c r="AJ67" s="16"/>
      <c r="AK67" s="16"/>
      <c r="AL67" s="16"/>
      <c r="AM67" s="16"/>
      <c r="AN67" s="16"/>
      <c r="AO67" s="16"/>
      <c r="AP67" s="16"/>
      <c r="AQ67" s="16"/>
      <c r="AR67" s="16"/>
      <c r="AS67" s="16"/>
      <c r="AT67" s="16"/>
      <c r="AU67" s="16"/>
      <c r="AV67" s="16"/>
      <c r="AW67" s="16"/>
      <c r="AX67" s="16"/>
      <c r="AY67" s="16"/>
      <c r="AZ67" s="16"/>
      <c r="BA67" s="16"/>
      <c r="BB67" s="16"/>
      <c r="BC67" s="16"/>
      <c r="BD67" s="16"/>
      <c r="BE67" s="16"/>
      <c r="BF67" s="16"/>
      <c r="BG67" s="16"/>
      <c r="BH67" s="16"/>
      <c r="BI67" s="16"/>
      <c r="BJ67" s="16"/>
      <c r="BK67" s="16"/>
      <c r="BL67" s="16"/>
      <c r="BM67" s="16"/>
      <c r="BN67" s="16"/>
      <c r="BO67" s="16"/>
      <c r="BP67" s="16"/>
      <c r="BQ67" s="16"/>
      <c r="BR67" s="16"/>
      <c r="BS67" s="16"/>
      <c r="BT67" s="16"/>
      <c r="BU67" s="16"/>
      <c r="BV67" s="16"/>
    </row>
    <row r="68" spans="1:74" s="15" customFormat="1" ht="18.75" x14ac:dyDescent="0.2">
      <c r="A68" s="136">
        <f>IF(F68&lt;&gt;"",1+MAX($A$1:A67),"")</f>
        <v>36</v>
      </c>
      <c r="B68" s="137" t="s">
        <v>186</v>
      </c>
      <c r="C68" s="137" t="s">
        <v>190</v>
      </c>
      <c r="D68" s="138"/>
      <c r="E68" s="139" t="s">
        <v>195</v>
      </c>
      <c r="F68" s="165">
        <f>3.25*1.5*1/27</f>
        <v>0.18055555555555555</v>
      </c>
      <c r="G68" s="96">
        <v>7.0000000000000007E-2</v>
      </c>
      <c r="H68" s="166">
        <f t="shared" ref="H68:H72" si="31">F68*(1+G68)</f>
        <v>0.19319444444444445</v>
      </c>
      <c r="I68" s="142" t="s">
        <v>108</v>
      </c>
      <c r="J68" s="21">
        <f>J$36</f>
        <v>0</v>
      </c>
      <c r="K68" s="97">
        <f t="shared" ref="K68:K72" si="32">J68*H68</f>
        <v>0</v>
      </c>
      <c r="L68" s="144"/>
      <c r="M68" s="16"/>
      <c r="N68" s="16"/>
      <c r="O68" s="16"/>
      <c r="P68" s="16"/>
      <c r="Q68" s="16"/>
      <c r="R68" s="16"/>
      <c r="S68" s="16"/>
      <c r="T68" s="16"/>
      <c r="U68" s="16"/>
      <c r="V68" s="16"/>
      <c r="W68" s="16"/>
      <c r="X68" s="16"/>
      <c r="Y68" s="16"/>
      <c r="Z68" s="16"/>
      <c r="AA68" s="16"/>
      <c r="AB68" s="16"/>
      <c r="AC68" s="16"/>
      <c r="AD68" s="16"/>
      <c r="AE68" s="16"/>
      <c r="AF68" s="16"/>
      <c r="AG68" s="16"/>
      <c r="AH68" s="16"/>
      <c r="AI68" s="16"/>
      <c r="AJ68" s="16"/>
      <c r="AK68" s="16"/>
      <c r="AL68" s="16"/>
      <c r="AM68" s="16"/>
      <c r="AN68" s="16"/>
      <c r="AO68" s="16"/>
      <c r="AP68" s="16"/>
      <c r="AQ68" s="16"/>
      <c r="AR68" s="16"/>
      <c r="AS68" s="16"/>
      <c r="AT68" s="16"/>
      <c r="AU68" s="16"/>
      <c r="AV68" s="16"/>
      <c r="AW68" s="16"/>
      <c r="AX68" s="16"/>
      <c r="AY68" s="16"/>
      <c r="AZ68" s="16"/>
      <c r="BA68" s="16"/>
      <c r="BB68" s="16"/>
      <c r="BC68" s="16"/>
      <c r="BD68" s="16"/>
      <c r="BE68" s="16"/>
      <c r="BF68" s="16"/>
      <c r="BG68" s="16"/>
      <c r="BH68" s="16"/>
      <c r="BI68" s="16"/>
      <c r="BJ68" s="16"/>
      <c r="BK68" s="16"/>
      <c r="BL68" s="16"/>
      <c r="BM68" s="16"/>
      <c r="BN68" s="16"/>
      <c r="BO68" s="16"/>
      <c r="BP68" s="16"/>
      <c r="BQ68" s="16"/>
      <c r="BR68" s="16"/>
      <c r="BS68" s="16"/>
      <c r="BT68" s="16"/>
      <c r="BU68" s="16"/>
      <c r="BV68" s="16"/>
    </row>
    <row r="69" spans="1:74" s="15" customFormat="1" ht="18.75" x14ac:dyDescent="0.2">
      <c r="A69" s="136">
        <f>IF(F69&lt;&gt;"",1+MAX($A$1:A68),"")</f>
        <v>37</v>
      </c>
      <c r="B69" s="137" t="s">
        <v>186</v>
      </c>
      <c r="C69" s="137" t="s">
        <v>190</v>
      </c>
      <c r="D69" s="138"/>
      <c r="E69" s="139" t="s">
        <v>196</v>
      </c>
      <c r="F69" s="140">
        <f>2*3.25*0.668*1.2</f>
        <v>5.2104000000000008</v>
      </c>
      <c r="G69" s="96">
        <v>7.0000000000000007E-2</v>
      </c>
      <c r="H69" s="141">
        <f t="shared" si="31"/>
        <v>5.5751280000000012</v>
      </c>
      <c r="I69" s="142" t="s">
        <v>109</v>
      </c>
      <c r="J69" s="155">
        <f t="shared" ref="J69:J70" si="33">J$37</f>
        <v>0</v>
      </c>
      <c r="K69" s="97">
        <f t="shared" si="32"/>
        <v>0</v>
      </c>
      <c r="L69" s="144"/>
      <c r="M69" s="16"/>
      <c r="N69" s="16"/>
      <c r="O69" s="16"/>
      <c r="P69" s="16"/>
      <c r="Q69" s="16"/>
      <c r="R69" s="16"/>
      <c r="S69" s="16"/>
      <c r="T69" s="16"/>
      <c r="U69" s="16"/>
      <c r="V69" s="16"/>
      <c r="W69" s="16"/>
      <c r="X69" s="16"/>
      <c r="Y69" s="16"/>
      <c r="Z69" s="16"/>
      <c r="AA69" s="16"/>
      <c r="AB69" s="16"/>
      <c r="AC69" s="16"/>
      <c r="AD69" s="16"/>
      <c r="AE69" s="16"/>
      <c r="AF69" s="16"/>
      <c r="AG69" s="16"/>
      <c r="AH69" s="16"/>
      <c r="AI69" s="16"/>
      <c r="AJ69" s="16"/>
      <c r="AK69" s="16"/>
      <c r="AL69" s="16"/>
      <c r="AM69" s="16"/>
      <c r="AN69" s="16"/>
      <c r="AO69" s="16"/>
      <c r="AP69" s="16"/>
      <c r="AQ69" s="16"/>
      <c r="AR69" s="16"/>
      <c r="AS69" s="16"/>
      <c r="AT69" s="16"/>
      <c r="AU69" s="16"/>
      <c r="AV69" s="16"/>
      <c r="AW69" s="16"/>
      <c r="AX69" s="16"/>
      <c r="AY69" s="16"/>
      <c r="AZ69" s="16"/>
      <c r="BA69" s="16"/>
      <c r="BB69" s="16"/>
      <c r="BC69" s="16"/>
      <c r="BD69" s="16"/>
      <c r="BE69" s="16"/>
      <c r="BF69" s="16"/>
      <c r="BG69" s="16"/>
      <c r="BH69" s="16"/>
      <c r="BI69" s="16"/>
      <c r="BJ69" s="16"/>
      <c r="BK69" s="16"/>
      <c r="BL69" s="16"/>
      <c r="BM69" s="16"/>
      <c r="BN69" s="16"/>
      <c r="BO69" s="16"/>
      <c r="BP69" s="16"/>
      <c r="BQ69" s="16"/>
      <c r="BR69" s="16"/>
      <c r="BS69" s="16"/>
      <c r="BT69" s="16"/>
      <c r="BU69" s="16"/>
      <c r="BV69" s="16"/>
    </row>
    <row r="70" spans="1:74" s="15" customFormat="1" ht="18.75" x14ac:dyDescent="0.2">
      <c r="A70" s="136">
        <f>IF(F70&lt;&gt;"",1+MAX($A$1:A69),"")</f>
        <v>38</v>
      </c>
      <c r="B70" s="137" t="s">
        <v>186</v>
      </c>
      <c r="C70" s="137" t="s">
        <v>190</v>
      </c>
      <c r="D70" s="138"/>
      <c r="E70" s="139" t="s">
        <v>197</v>
      </c>
      <c r="F70" s="140">
        <f>((3.25*12/24)+1)*1.5*0.668*1.2</f>
        <v>3.1563000000000003</v>
      </c>
      <c r="G70" s="96">
        <v>7.0000000000000007E-2</v>
      </c>
      <c r="H70" s="141">
        <f t="shared" si="31"/>
        <v>3.3772410000000006</v>
      </c>
      <c r="I70" s="142" t="s">
        <v>109</v>
      </c>
      <c r="J70" s="155">
        <f t="shared" si="33"/>
        <v>0</v>
      </c>
      <c r="K70" s="97">
        <f t="shared" si="32"/>
        <v>0</v>
      </c>
      <c r="L70" s="144"/>
      <c r="M70" s="16"/>
      <c r="N70" s="16"/>
      <c r="O70" s="16"/>
      <c r="P70" s="16"/>
      <c r="Q70" s="16"/>
      <c r="R70" s="16"/>
      <c r="S70" s="16"/>
      <c r="T70" s="16"/>
      <c r="U70" s="16"/>
      <c r="V70" s="16"/>
      <c r="W70" s="16"/>
      <c r="X70" s="16"/>
      <c r="Y70" s="16"/>
      <c r="Z70" s="16"/>
      <c r="AA70" s="16"/>
      <c r="AB70" s="16"/>
      <c r="AC70" s="16"/>
      <c r="AD70" s="16"/>
      <c r="AE70" s="16"/>
      <c r="AF70" s="16"/>
      <c r="AG70" s="16"/>
      <c r="AH70" s="16"/>
      <c r="AI70" s="16"/>
      <c r="AJ70" s="16"/>
      <c r="AK70" s="16"/>
      <c r="AL70" s="16"/>
      <c r="AM70" s="16"/>
      <c r="AN70" s="16"/>
      <c r="AO70" s="16"/>
      <c r="AP70" s="16"/>
      <c r="AQ70" s="16"/>
      <c r="AR70" s="16"/>
      <c r="AS70" s="16"/>
      <c r="AT70" s="16"/>
      <c r="AU70" s="16"/>
      <c r="AV70" s="16"/>
      <c r="AW70" s="16"/>
      <c r="AX70" s="16"/>
      <c r="AY70" s="16"/>
      <c r="AZ70" s="16"/>
      <c r="BA70" s="16"/>
      <c r="BB70" s="16"/>
      <c r="BC70" s="16"/>
      <c r="BD70" s="16"/>
      <c r="BE70" s="16"/>
      <c r="BF70" s="16"/>
      <c r="BG70" s="16"/>
      <c r="BH70" s="16"/>
      <c r="BI70" s="16"/>
      <c r="BJ70" s="16"/>
      <c r="BK70" s="16"/>
      <c r="BL70" s="16"/>
      <c r="BM70" s="16"/>
      <c r="BN70" s="16"/>
      <c r="BO70" s="16"/>
      <c r="BP70" s="16"/>
      <c r="BQ70" s="16"/>
      <c r="BR70" s="16"/>
      <c r="BS70" s="16"/>
      <c r="BT70" s="16"/>
      <c r="BU70" s="16"/>
      <c r="BV70" s="16"/>
    </row>
    <row r="71" spans="1:74" s="15" customFormat="1" ht="18.75" x14ac:dyDescent="0.2">
      <c r="A71" s="136">
        <f>IF(F71&lt;&gt;"",1+MAX($A$1:A70),"")</f>
        <v>39</v>
      </c>
      <c r="B71" s="137" t="s">
        <v>186</v>
      </c>
      <c r="C71" s="137" t="s">
        <v>190</v>
      </c>
      <c r="D71" s="138"/>
      <c r="E71" s="139" t="s">
        <v>110</v>
      </c>
      <c r="F71" s="140">
        <f>3.25*1</f>
        <v>3.25</v>
      </c>
      <c r="G71" s="96">
        <v>7.0000000000000007E-2</v>
      </c>
      <c r="H71" s="141">
        <f t="shared" si="31"/>
        <v>3.4775</v>
      </c>
      <c r="I71" s="142" t="s">
        <v>111</v>
      </c>
      <c r="J71" s="155">
        <f>J$39</f>
        <v>0</v>
      </c>
      <c r="K71" s="97">
        <f t="shared" si="32"/>
        <v>0</v>
      </c>
      <c r="L71" s="144"/>
      <c r="M71" s="16"/>
      <c r="N71" s="16"/>
      <c r="O71" s="16"/>
      <c r="P71" s="16"/>
      <c r="Q71" s="16"/>
      <c r="R71" s="16"/>
      <c r="S71" s="16"/>
      <c r="T71" s="16"/>
      <c r="U71" s="16"/>
      <c r="V71" s="16"/>
      <c r="W71" s="16"/>
      <c r="X71" s="16"/>
      <c r="Y71" s="16"/>
      <c r="Z71" s="16"/>
      <c r="AA71" s="16"/>
      <c r="AB71" s="16"/>
      <c r="AC71" s="16"/>
      <c r="AD71" s="16"/>
      <c r="AE71" s="16"/>
      <c r="AF71" s="16"/>
      <c r="AG71" s="16"/>
      <c r="AH71" s="16"/>
      <c r="AI71" s="16"/>
      <c r="AJ71" s="16"/>
      <c r="AK71" s="16"/>
      <c r="AL71" s="16"/>
      <c r="AM71" s="16"/>
      <c r="AN71" s="16"/>
      <c r="AO71" s="16"/>
      <c r="AP71" s="16"/>
      <c r="AQ71" s="16"/>
      <c r="AR71" s="16"/>
      <c r="AS71" s="16"/>
      <c r="AT71" s="16"/>
      <c r="AU71" s="16"/>
      <c r="AV71" s="16"/>
      <c r="AW71" s="16"/>
      <c r="AX71" s="16"/>
      <c r="AY71" s="16"/>
      <c r="AZ71" s="16"/>
      <c r="BA71" s="16"/>
      <c r="BB71" s="16"/>
      <c r="BC71" s="16"/>
      <c r="BD71" s="16"/>
      <c r="BE71" s="16"/>
      <c r="BF71" s="16"/>
      <c r="BG71" s="16"/>
      <c r="BH71" s="16"/>
      <c r="BI71" s="16"/>
      <c r="BJ71" s="16"/>
      <c r="BK71" s="16"/>
      <c r="BL71" s="16"/>
      <c r="BM71" s="16"/>
      <c r="BN71" s="16"/>
      <c r="BO71" s="16"/>
      <c r="BP71" s="16"/>
      <c r="BQ71" s="16"/>
      <c r="BR71" s="16"/>
      <c r="BS71" s="16"/>
      <c r="BT71" s="16"/>
      <c r="BU71" s="16"/>
      <c r="BV71" s="16"/>
    </row>
    <row r="72" spans="1:74" s="15" customFormat="1" ht="18.75" x14ac:dyDescent="0.2">
      <c r="A72" s="136">
        <f>IF(F72&lt;&gt;"",1+MAX($A$1:A71),"")</f>
        <v>40</v>
      </c>
      <c r="B72" s="137" t="s">
        <v>186</v>
      </c>
      <c r="C72" s="137" t="s">
        <v>190</v>
      </c>
      <c r="D72" s="138"/>
      <c r="E72" s="139" t="s">
        <v>112</v>
      </c>
      <c r="F72" s="165">
        <f>3.25*1.5*2/27</f>
        <v>0.3611111111111111</v>
      </c>
      <c r="G72" s="96">
        <v>7.0000000000000007E-2</v>
      </c>
      <c r="H72" s="166">
        <f t="shared" si="31"/>
        <v>0.38638888888888889</v>
      </c>
      <c r="I72" s="142" t="s">
        <v>108</v>
      </c>
      <c r="J72" s="155">
        <f>J$40</f>
        <v>0</v>
      </c>
      <c r="K72" s="97">
        <f t="shared" si="32"/>
        <v>0</v>
      </c>
      <c r="L72" s="144"/>
      <c r="M72" s="16"/>
      <c r="N72" s="16"/>
      <c r="O72" s="16"/>
      <c r="P72" s="16"/>
      <c r="Q72" s="16"/>
      <c r="R72" s="16"/>
      <c r="S72" s="16"/>
      <c r="T72" s="16"/>
      <c r="U72" s="16"/>
      <c r="V72" s="16"/>
      <c r="W72" s="16"/>
      <c r="X72" s="16"/>
      <c r="Y72" s="16"/>
      <c r="Z72" s="16"/>
      <c r="AA72" s="16"/>
      <c r="AB72" s="16"/>
      <c r="AC72" s="16"/>
      <c r="AD72" s="16"/>
      <c r="AE72" s="16"/>
      <c r="AF72" s="16"/>
      <c r="AG72" s="16"/>
      <c r="AH72" s="16"/>
      <c r="AI72" s="16"/>
      <c r="AJ72" s="16"/>
      <c r="AK72" s="16"/>
      <c r="AL72" s="16"/>
      <c r="AM72" s="16"/>
      <c r="AN72" s="16"/>
      <c r="AO72" s="16"/>
      <c r="AP72" s="16"/>
      <c r="AQ72" s="16"/>
      <c r="AR72" s="16"/>
      <c r="AS72" s="16"/>
      <c r="AT72" s="16"/>
      <c r="AU72" s="16"/>
      <c r="AV72" s="16"/>
      <c r="AW72" s="16"/>
      <c r="AX72" s="16"/>
      <c r="AY72" s="16"/>
      <c r="AZ72" s="16"/>
      <c r="BA72" s="16"/>
      <c r="BB72" s="16"/>
      <c r="BC72" s="16"/>
      <c r="BD72" s="16"/>
      <c r="BE72" s="16"/>
      <c r="BF72" s="16"/>
      <c r="BG72" s="16"/>
      <c r="BH72" s="16"/>
      <c r="BI72" s="16"/>
      <c r="BJ72" s="16"/>
      <c r="BK72" s="16"/>
      <c r="BL72" s="16"/>
      <c r="BM72" s="16"/>
      <c r="BN72" s="16"/>
      <c r="BO72" s="16"/>
      <c r="BP72" s="16"/>
      <c r="BQ72" s="16"/>
      <c r="BR72" s="16"/>
      <c r="BS72" s="16"/>
      <c r="BT72" s="16"/>
      <c r="BU72" s="16"/>
      <c r="BV72" s="16"/>
    </row>
    <row r="73" spans="1:74" s="15" customFormat="1" ht="18.75" x14ac:dyDescent="0.2">
      <c r="A73" s="136" t="str">
        <f>IF(F73&lt;&gt;"",1+MAX($A$1:A72),"")</f>
        <v/>
      </c>
      <c r="B73" s="145"/>
      <c r="C73" s="137"/>
      <c r="D73" s="138"/>
      <c r="E73" s="139"/>
      <c r="F73" s="140"/>
      <c r="G73" s="96"/>
      <c r="H73" s="141"/>
      <c r="I73" s="142"/>
      <c r="J73" s="155"/>
      <c r="K73" s="97"/>
      <c r="L73" s="144"/>
      <c r="M73" s="16"/>
      <c r="N73" s="16"/>
      <c r="O73" s="16"/>
      <c r="P73" s="16"/>
      <c r="Q73" s="16"/>
      <c r="R73" s="16"/>
      <c r="S73" s="16"/>
      <c r="T73" s="16"/>
      <c r="U73" s="16"/>
      <c r="V73" s="16"/>
      <c r="W73" s="16"/>
      <c r="X73" s="16"/>
      <c r="Y73" s="16"/>
      <c r="Z73" s="16"/>
      <c r="AA73" s="16"/>
      <c r="AB73" s="16"/>
      <c r="AC73" s="16"/>
      <c r="AD73" s="16"/>
      <c r="AE73" s="16"/>
      <c r="AF73" s="16"/>
      <c r="AG73" s="16"/>
      <c r="AH73" s="16"/>
      <c r="AI73" s="16"/>
      <c r="AJ73" s="16"/>
      <c r="AK73" s="16"/>
      <c r="AL73" s="16"/>
      <c r="AM73" s="16"/>
      <c r="AN73" s="16"/>
      <c r="AO73" s="16"/>
      <c r="AP73" s="16"/>
      <c r="AQ73" s="16"/>
      <c r="AR73" s="16"/>
      <c r="AS73" s="16"/>
      <c r="AT73" s="16"/>
      <c r="AU73" s="16"/>
      <c r="AV73" s="16"/>
      <c r="AW73" s="16"/>
      <c r="AX73" s="16"/>
      <c r="AY73" s="16"/>
      <c r="AZ73" s="16"/>
      <c r="BA73" s="16"/>
      <c r="BB73" s="16"/>
      <c r="BC73" s="16"/>
      <c r="BD73" s="16"/>
      <c r="BE73" s="16"/>
      <c r="BF73" s="16"/>
      <c r="BG73" s="16"/>
      <c r="BH73" s="16"/>
      <c r="BI73" s="16"/>
      <c r="BJ73" s="16"/>
      <c r="BK73" s="16"/>
      <c r="BL73" s="16"/>
      <c r="BM73" s="16"/>
      <c r="BN73" s="16"/>
      <c r="BO73" s="16"/>
      <c r="BP73" s="16"/>
      <c r="BQ73" s="16"/>
      <c r="BR73" s="16"/>
      <c r="BS73" s="16"/>
      <c r="BT73" s="16"/>
      <c r="BU73" s="16"/>
      <c r="BV73" s="16"/>
    </row>
    <row r="74" spans="1:74" s="15" customFormat="1" ht="63" x14ac:dyDescent="0.2">
      <c r="A74" s="136" t="str">
        <f>IF(F74&lt;&gt;"",1+MAX($A$1:A73),"")</f>
        <v/>
      </c>
      <c r="B74" s="145"/>
      <c r="C74" s="137"/>
      <c r="D74" s="138"/>
      <c r="E74" s="164" t="s">
        <v>205</v>
      </c>
      <c r="F74" s="140"/>
      <c r="G74" s="96"/>
      <c r="H74" s="141"/>
      <c r="I74" s="150"/>
      <c r="J74" s="21"/>
      <c r="K74" s="97"/>
      <c r="L74" s="144"/>
      <c r="M74" s="16"/>
      <c r="N74" s="16"/>
      <c r="O74" s="16"/>
      <c r="P74" s="16"/>
      <c r="Q74" s="16"/>
      <c r="R74" s="16"/>
      <c r="S74" s="16"/>
      <c r="T74" s="16"/>
      <c r="U74" s="16"/>
      <c r="V74" s="16"/>
      <c r="W74" s="16"/>
      <c r="X74" s="16"/>
      <c r="Y74" s="16"/>
      <c r="Z74" s="16"/>
      <c r="AA74" s="16"/>
      <c r="AB74" s="16"/>
      <c r="AC74" s="16"/>
      <c r="AD74" s="16"/>
      <c r="AE74" s="16"/>
      <c r="AF74" s="16"/>
      <c r="AG74" s="16"/>
      <c r="AH74" s="16"/>
      <c r="AI74" s="16"/>
      <c r="AJ74" s="16"/>
      <c r="AK74" s="16"/>
      <c r="AL74" s="16"/>
      <c r="AM74" s="16"/>
      <c r="AN74" s="16"/>
      <c r="AO74" s="16"/>
      <c r="AP74" s="16"/>
      <c r="AQ74" s="16"/>
      <c r="AR74" s="16"/>
      <c r="AS74" s="16"/>
      <c r="AT74" s="16"/>
      <c r="AU74" s="16"/>
      <c r="AV74" s="16"/>
      <c r="AW74" s="16"/>
      <c r="AX74" s="16"/>
      <c r="AY74" s="16"/>
      <c r="AZ74" s="16"/>
      <c r="BA74" s="16"/>
      <c r="BB74" s="16"/>
      <c r="BC74" s="16"/>
      <c r="BD74" s="16"/>
      <c r="BE74" s="16"/>
      <c r="BF74" s="16"/>
      <c r="BG74" s="16"/>
      <c r="BH74" s="16"/>
      <c r="BI74" s="16"/>
      <c r="BJ74" s="16"/>
      <c r="BK74" s="16"/>
      <c r="BL74" s="16"/>
      <c r="BM74" s="16"/>
      <c r="BN74" s="16"/>
      <c r="BO74" s="16"/>
      <c r="BP74" s="16"/>
      <c r="BQ74" s="16"/>
      <c r="BR74" s="16"/>
      <c r="BS74" s="16"/>
      <c r="BT74" s="16"/>
      <c r="BU74" s="16"/>
      <c r="BV74" s="16"/>
    </row>
    <row r="75" spans="1:74" s="15" customFormat="1" ht="18.75" x14ac:dyDescent="0.2">
      <c r="A75" s="136">
        <f>IF(F75&lt;&gt;"",1+MAX($A$1:A74),"")</f>
        <v>41</v>
      </c>
      <c r="B75" s="137" t="s">
        <v>186</v>
      </c>
      <c r="C75" s="137" t="s">
        <v>190</v>
      </c>
      <c r="D75" s="138"/>
      <c r="E75" s="139" t="s">
        <v>195</v>
      </c>
      <c r="F75" s="167">
        <f>3.25*1*7.334/27</f>
        <v>0.8827962962962963</v>
      </c>
      <c r="G75" s="96">
        <v>7.0000000000000007E-2</v>
      </c>
      <c r="H75" s="141">
        <f t="shared" ref="H75:H79" si="34">F75*(1+G75)</f>
        <v>0.94459203703703709</v>
      </c>
      <c r="I75" s="142" t="s">
        <v>108</v>
      </c>
      <c r="J75" s="21">
        <f>J$36</f>
        <v>0</v>
      </c>
      <c r="K75" s="97">
        <f t="shared" ref="K75:K79" si="35">J75*H75</f>
        <v>0</v>
      </c>
      <c r="L75" s="144"/>
      <c r="M75" s="16"/>
      <c r="N75" s="16"/>
      <c r="O75" s="16"/>
      <c r="P75" s="16"/>
      <c r="Q75" s="16"/>
      <c r="R75" s="16"/>
      <c r="S75" s="16"/>
      <c r="T75" s="16"/>
      <c r="U75" s="16"/>
      <c r="V75" s="16"/>
      <c r="W75" s="16"/>
      <c r="X75" s="16"/>
      <c r="Y75" s="16"/>
      <c r="Z75" s="16"/>
      <c r="AA75" s="16"/>
      <c r="AB75" s="16"/>
      <c r="AC75" s="16"/>
      <c r="AD75" s="16"/>
      <c r="AE75" s="16"/>
      <c r="AF75" s="16"/>
      <c r="AG75" s="16"/>
      <c r="AH75" s="16"/>
      <c r="AI75" s="16"/>
      <c r="AJ75" s="16"/>
      <c r="AK75" s="16"/>
      <c r="AL75" s="16"/>
      <c r="AM75" s="16"/>
      <c r="AN75" s="16"/>
      <c r="AO75" s="16"/>
      <c r="AP75" s="16"/>
      <c r="AQ75" s="16"/>
      <c r="AR75" s="16"/>
      <c r="AS75" s="16"/>
      <c r="AT75" s="16"/>
      <c r="AU75" s="16"/>
      <c r="AV75" s="16"/>
      <c r="AW75" s="16"/>
      <c r="AX75" s="16"/>
      <c r="AY75" s="16"/>
      <c r="AZ75" s="16"/>
      <c r="BA75" s="16"/>
      <c r="BB75" s="16"/>
      <c r="BC75" s="16"/>
      <c r="BD75" s="16"/>
      <c r="BE75" s="16"/>
      <c r="BF75" s="16"/>
      <c r="BG75" s="16"/>
      <c r="BH75" s="16"/>
      <c r="BI75" s="16"/>
      <c r="BJ75" s="16"/>
      <c r="BK75" s="16"/>
      <c r="BL75" s="16"/>
      <c r="BM75" s="16"/>
      <c r="BN75" s="16"/>
      <c r="BO75" s="16"/>
      <c r="BP75" s="16"/>
      <c r="BQ75" s="16"/>
      <c r="BR75" s="16"/>
      <c r="BS75" s="16"/>
      <c r="BT75" s="16"/>
      <c r="BU75" s="16"/>
      <c r="BV75" s="16"/>
    </row>
    <row r="76" spans="1:74" s="15" customFormat="1" ht="18.75" x14ac:dyDescent="0.2">
      <c r="A76" s="136">
        <f>IF(F76&lt;&gt;"",1+MAX($A$1:A75),"")</f>
        <v>42</v>
      </c>
      <c r="B76" s="137" t="s">
        <v>186</v>
      </c>
      <c r="C76" s="137" t="s">
        <v>190</v>
      </c>
      <c r="D76" s="138"/>
      <c r="E76" s="139" t="s">
        <v>199</v>
      </c>
      <c r="F76" s="140">
        <f>2*3.25*0.668*1.2*3</f>
        <v>15.631200000000003</v>
      </c>
      <c r="G76" s="96">
        <v>7.0000000000000007E-2</v>
      </c>
      <c r="H76" s="141">
        <f t="shared" si="34"/>
        <v>16.725384000000005</v>
      </c>
      <c r="I76" s="142" t="s">
        <v>109</v>
      </c>
      <c r="J76" s="155">
        <f t="shared" ref="J76:J77" si="36">J$37</f>
        <v>0</v>
      </c>
      <c r="K76" s="97">
        <f t="shared" si="35"/>
        <v>0</v>
      </c>
      <c r="L76" s="144"/>
      <c r="M76" s="16"/>
      <c r="N76" s="16"/>
      <c r="O76" s="16"/>
      <c r="P76" s="16"/>
      <c r="Q76" s="16"/>
      <c r="R76" s="16"/>
      <c r="S76" s="16"/>
      <c r="T76" s="16"/>
      <c r="U76" s="16"/>
      <c r="V76" s="16"/>
      <c r="W76" s="16"/>
      <c r="X76" s="16"/>
      <c r="Y76" s="16"/>
      <c r="Z76" s="16"/>
      <c r="AA76" s="16"/>
      <c r="AB76" s="16"/>
      <c r="AC76" s="16"/>
      <c r="AD76" s="16"/>
      <c r="AE76" s="16"/>
      <c r="AF76" s="16"/>
      <c r="AG76" s="16"/>
      <c r="AH76" s="16"/>
      <c r="AI76" s="16"/>
      <c r="AJ76" s="16"/>
      <c r="AK76" s="16"/>
      <c r="AL76" s="16"/>
      <c r="AM76" s="16"/>
      <c r="AN76" s="16"/>
      <c r="AO76" s="16"/>
      <c r="AP76" s="16"/>
      <c r="AQ76" s="16"/>
      <c r="AR76" s="16"/>
      <c r="AS76" s="16"/>
      <c r="AT76" s="16"/>
      <c r="AU76" s="16"/>
      <c r="AV76" s="16"/>
      <c r="AW76" s="16"/>
      <c r="AX76" s="16"/>
      <c r="AY76" s="16"/>
      <c r="AZ76" s="16"/>
      <c r="BA76" s="16"/>
      <c r="BB76" s="16"/>
      <c r="BC76" s="16"/>
      <c r="BD76" s="16"/>
      <c r="BE76" s="16"/>
      <c r="BF76" s="16"/>
      <c r="BG76" s="16"/>
      <c r="BH76" s="16"/>
      <c r="BI76" s="16"/>
      <c r="BJ76" s="16"/>
      <c r="BK76" s="16"/>
      <c r="BL76" s="16"/>
      <c r="BM76" s="16"/>
      <c r="BN76" s="16"/>
      <c r="BO76" s="16"/>
      <c r="BP76" s="16"/>
      <c r="BQ76" s="16"/>
      <c r="BR76" s="16"/>
      <c r="BS76" s="16"/>
      <c r="BT76" s="16"/>
      <c r="BU76" s="16"/>
      <c r="BV76" s="16"/>
    </row>
    <row r="77" spans="1:74" s="15" customFormat="1" ht="18.75" x14ac:dyDescent="0.2">
      <c r="A77" s="136">
        <f>IF(F77&lt;&gt;"",1+MAX($A$1:A76),"")</f>
        <v>43</v>
      </c>
      <c r="B77" s="137" t="s">
        <v>186</v>
      </c>
      <c r="C77" s="137" t="s">
        <v>190</v>
      </c>
      <c r="D77" s="138"/>
      <c r="E77" s="139" t="s">
        <v>200</v>
      </c>
      <c r="F77" s="140">
        <f>((3.25*12/16)+1)*7.334*0.668*1.2*2</f>
        <v>40.417673999999998</v>
      </c>
      <c r="G77" s="96">
        <v>7.0000000000000007E-2</v>
      </c>
      <c r="H77" s="141">
        <f t="shared" si="34"/>
        <v>43.246911179999998</v>
      </c>
      <c r="I77" s="142" t="s">
        <v>109</v>
      </c>
      <c r="J77" s="155">
        <f t="shared" si="36"/>
        <v>0</v>
      </c>
      <c r="K77" s="97">
        <f t="shared" si="35"/>
        <v>0</v>
      </c>
      <c r="L77" s="144"/>
      <c r="M77" s="16"/>
      <c r="N77" s="16"/>
      <c r="O77" s="16"/>
      <c r="P77" s="16"/>
      <c r="Q77" s="16"/>
      <c r="R77" s="16"/>
      <c r="S77" s="16"/>
      <c r="T77" s="16"/>
      <c r="U77" s="16"/>
      <c r="V77" s="16"/>
      <c r="W77" s="16"/>
      <c r="X77" s="16"/>
      <c r="Y77" s="16"/>
      <c r="Z77" s="16"/>
      <c r="AA77" s="16"/>
      <c r="AB77" s="16"/>
      <c r="AC77" s="16"/>
      <c r="AD77" s="16"/>
      <c r="AE77" s="16"/>
      <c r="AF77" s="16"/>
      <c r="AG77" s="16"/>
      <c r="AH77" s="16"/>
      <c r="AI77" s="16"/>
      <c r="AJ77" s="16"/>
      <c r="AK77" s="16"/>
      <c r="AL77" s="16"/>
      <c r="AM77" s="16"/>
      <c r="AN77" s="16"/>
      <c r="AO77" s="16"/>
      <c r="AP77" s="16"/>
      <c r="AQ77" s="16"/>
      <c r="AR77" s="16"/>
      <c r="AS77" s="16"/>
      <c r="AT77" s="16"/>
      <c r="AU77" s="16"/>
      <c r="AV77" s="16"/>
      <c r="AW77" s="16"/>
      <c r="AX77" s="16"/>
      <c r="AY77" s="16"/>
      <c r="AZ77" s="16"/>
      <c r="BA77" s="16"/>
      <c r="BB77" s="16"/>
      <c r="BC77" s="16"/>
      <c r="BD77" s="16"/>
      <c r="BE77" s="16"/>
      <c r="BF77" s="16"/>
      <c r="BG77" s="16"/>
      <c r="BH77" s="16"/>
      <c r="BI77" s="16"/>
      <c r="BJ77" s="16"/>
      <c r="BK77" s="16"/>
      <c r="BL77" s="16"/>
      <c r="BM77" s="16"/>
      <c r="BN77" s="16"/>
      <c r="BO77" s="16"/>
      <c r="BP77" s="16"/>
      <c r="BQ77" s="16"/>
      <c r="BR77" s="16"/>
      <c r="BS77" s="16"/>
      <c r="BT77" s="16"/>
      <c r="BU77" s="16"/>
      <c r="BV77" s="16"/>
    </row>
    <row r="78" spans="1:74" s="15" customFormat="1" ht="18.75" x14ac:dyDescent="0.2">
      <c r="A78" s="136">
        <f>IF(F78&lt;&gt;"",1+MAX($A$1:A77),"")</f>
        <v>44</v>
      </c>
      <c r="B78" s="137" t="s">
        <v>186</v>
      </c>
      <c r="C78" s="137" t="s">
        <v>190</v>
      </c>
      <c r="D78" s="138"/>
      <c r="E78" s="139" t="s">
        <v>110</v>
      </c>
      <c r="F78" s="140">
        <f>3.25*7.334</f>
        <v>23.8355</v>
      </c>
      <c r="G78" s="96">
        <v>7.0000000000000007E-2</v>
      </c>
      <c r="H78" s="141">
        <f t="shared" si="34"/>
        <v>25.503985</v>
      </c>
      <c r="I78" s="142" t="s">
        <v>111</v>
      </c>
      <c r="J78" s="155">
        <f>J$39</f>
        <v>0</v>
      </c>
      <c r="K78" s="97">
        <f t="shared" si="35"/>
        <v>0</v>
      </c>
      <c r="L78" s="144"/>
      <c r="M78" s="16"/>
      <c r="N78" s="16"/>
      <c r="O78" s="16"/>
      <c r="P78" s="16"/>
      <c r="Q78" s="16"/>
      <c r="R78" s="16"/>
      <c r="S78" s="16"/>
      <c r="T78" s="16"/>
      <c r="U78" s="16"/>
      <c r="V78" s="16"/>
      <c r="W78" s="16"/>
      <c r="X78" s="16"/>
      <c r="Y78" s="16"/>
      <c r="Z78" s="16"/>
      <c r="AA78" s="16"/>
      <c r="AB78" s="16"/>
      <c r="AC78" s="16"/>
      <c r="AD78" s="16"/>
      <c r="AE78" s="16"/>
      <c r="AF78" s="16"/>
      <c r="AG78" s="16"/>
      <c r="AH78" s="16"/>
      <c r="AI78" s="16"/>
      <c r="AJ78" s="16"/>
      <c r="AK78" s="16"/>
      <c r="AL78" s="16"/>
      <c r="AM78" s="16"/>
      <c r="AN78" s="16"/>
      <c r="AO78" s="16"/>
      <c r="AP78" s="16"/>
      <c r="AQ78" s="16"/>
      <c r="AR78" s="16"/>
      <c r="AS78" s="16"/>
      <c r="AT78" s="16"/>
      <c r="AU78" s="16"/>
      <c r="AV78" s="16"/>
      <c r="AW78" s="16"/>
      <c r="AX78" s="16"/>
      <c r="AY78" s="16"/>
      <c r="AZ78" s="16"/>
      <c r="BA78" s="16"/>
      <c r="BB78" s="16"/>
      <c r="BC78" s="16"/>
      <c r="BD78" s="16"/>
      <c r="BE78" s="16"/>
      <c r="BF78" s="16"/>
      <c r="BG78" s="16"/>
      <c r="BH78" s="16"/>
      <c r="BI78" s="16"/>
      <c r="BJ78" s="16"/>
      <c r="BK78" s="16"/>
      <c r="BL78" s="16"/>
      <c r="BM78" s="16"/>
      <c r="BN78" s="16"/>
      <c r="BO78" s="16"/>
      <c r="BP78" s="16"/>
      <c r="BQ78" s="16"/>
      <c r="BR78" s="16"/>
      <c r="BS78" s="16"/>
      <c r="BT78" s="16"/>
      <c r="BU78" s="16"/>
      <c r="BV78" s="16"/>
    </row>
    <row r="79" spans="1:74" s="15" customFormat="1" ht="18.75" x14ac:dyDescent="0.2">
      <c r="A79" s="136">
        <f>IF(F79&lt;&gt;"",1+MAX($A$1:A78),"")</f>
        <v>45</v>
      </c>
      <c r="B79" s="137" t="s">
        <v>186</v>
      </c>
      <c r="C79" s="137" t="s">
        <v>190</v>
      </c>
      <c r="D79" s="138"/>
      <c r="E79" s="139" t="s">
        <v>112</v>
      </c>
      <c r="F79" s="167">
        <f>3.25*1*7.334/27</f>
        <v>0.8827962962962963</v>
      </c>
      <c r="G79" s="96">
        <v>7.0000000000000007E-2</v>
      </c>
      <c r="H79" s="141">
        <f t="shared" si="34"/>
        <v>0.94459203703703709</v>
      </c>
      <c r="I79" s="142" t="s">
        <v>108</v>
      </c>
      <c r="J79" s="155">
        <f>J$40</f>
        <v>0</v>
      </c>
      <c r="K79" s="97">
        <f t="shared" si="35"/>
        <v>0</v>
      </c>
      <c r="L79" s="144"/>
      <c r="M79" s="16"/>
      <c r="N79" s="16"/>
      <c r="O79" s="16"/>
      <c r="P79" s="16"/>
      <c r="Q79" s="16"/>
      <c r="R79" s="16"/>
      <c r="S79" s="16"/>
      <c r="T79" s="16"/>
      <c r="U79" s="16"/>
      <c r="V79" s="16"/>
      <c r="W79" s="16"/>
      <c r="X79" s="16"/>
      <c r="Y79" s="16"/>
      <c r="Z79" s="16"/>
      <c r="AA79" s="16"/>
      <c r="AB79" s="16"/>
      <c r="AC79" s="16"/>
      <c r="AD79" s="16"/>
      <c r="AE79" s="16"/>
      <c r="AF79" s="16"/>
      <c r="AG79" s="16"/>
      <c r="AH79" s="16"/>
      <c r="AI79" s="16"/>
      <c r="AJ79" s="16"/>
      <c r="AK79" s="16"/>
      <c r="AL79" s="16"/>
      <c r="AM79" s="16"/>
      <c r="AN79" s="16"/>
      <c r="AO79" s="16"/>
      <c r="AP79" s="16"/>
      <c r="AQ79" s="16"/>
      <c r="AR79" s="16"/>
      <c r="AS79" s="16"/>
      <c r="AT79" s="16"/>
      <c r="AU79" s="16"/>
      <c r="AV79" s="16"/>
      <c r="AW79" s="16"/>
      <c r="AX79" s="16"/>
      <c r="AY79" s="16"/>
      <c r="AZ79" s="16"/>
      <c r="BA79" s="16"/>
      <c r="BB79" s="16"/>
      <c r="BC79" s="16"/>
      <c r="BD79" s="16"/>
      <c r="BE79" s="16"/>
      <c r="BF79" s="16"/>
      <c r="BG79" s="16"/>
      <c r="BH79" s="16"/>
      <c r="BI79" s="16"/>
      <c r="BJ79" s="16"/>
      <c r="BK79" s="16"/>
      <c r="BL79" s="16"/>
      <c r="BM79" s="16"/>
      <c r="BN79" s="16"/>
      <c r="BO79" s="16"/>
      <c r="BP79" s="16"/>
      <c r="BQ79" s="16"/>
      <c r="BR79" s="16"/>
      <c r="BS79" s="16"/>
      <c r="BT79" s="16"/>
      <c r="BU79" s="16"/>
      <c r="BV79" s="16"/>
    </row>
    <row r="80" spans="1:74" s="15" customFormat="1" ht="18.75" x14ac:dyDescent="0.2">
      <c r="A80" s="136" t="str">
        <f>IF(F80&lt;&gt;"",1+MAX($A$1:A79),"")</f>
        <v/>
      </c>
      <c r="B80" s="145"/>
      <c r="C80" s="137"/>
      <c r="D80" s="138"/>
      <c r="E80" s="139"/>
      <c r="F80" s="140"/>
      <c r="G80" s="96"/>
      <c r="H80" s="141"/>
      <c r="I80" s="142"/>
      <c r="J80" s="155"/>
      <c r="K80" s="97"/>
      <c r="L80" s="144"/>
      <c r="M80" s="16"/>
      <c r="N80" s="16"/>
      <c r="O80" s="16"/>
      <c r="P80" s="16"/>
      <c r="Q80" s="16"/>
      <c r="R80" s="16"/>
      <c r="S80" s="16"/>
      <c r="T80" s="16"/>
      <c r="U80" s="16"/>
      <c r="V80" s="16"/>
      <c r="W80" s="16"/>
      <c r="X80" s="16"/>
      <c r="Y80" s="16"/>
      <c r="Z80" s="16"/>
      <c r="AA80" s="16"/>
      <c r="AB80" s="16"/>
      <c r="AC80" s="16"/>
      <c r="AD80" s="16"/>
      <c r="AE80" s="16"/>
      <c r="AF80" s="16"/>
      <c r="AG80" s="16"/>
      <c r="AH80" s="16"/>
      <c r="AI80" s="16"/>
      <c r="AJ80" s="16"/>
      <c r="AK80" s="16"/>
      <c r="AL80" s="16"/>
      <c r="AM80" s="16"/>
      <c r="AN80" s="16"/>
      <c r="AO80" s="16"/>
      <c r="AP80" s="16"/>
      <c r="AQ80" s="16"/>
      <c r="AR80" s="16"/>
      <c r="AS80" s="16"/>
      <c r="AT80" s="16"/>
      <c r="AU80" s="16"/>
      <c r="AV80" s="16"/>
      <c r="AW80" s="16"/>
      <c r="AX80" s="16"/>
      <c r="AY80" s="16"/>
      <c r="AZ80" s="16"/>
      <c r="BA80" s="16"/>
      <c r="BB80" s="16"/>
      <c r="BC80" s="16"/>
      <c r="BD80" s="16"/>
      <c r="BE80" s="16"/>
      <c r="BF80" s="16"/>
      <c r="BG80" s="16"/>
      <c r="BH80" s="16"/>
      <c r="BI80" s="16"/>
      <c r="BJ80" s="16"/>
      <c r="BK80" s="16"/>
      <c r="BL80" s="16"/>
      <c r="BM80" s="16"/>
      <c r="BN80" s="16"/>
      <c r="BO80" s="16"/>
      <c r="BP80" s="16"/>
      <c r="BQ80" s="16"/>
      <c r="BR80" s="16"/>
      <c r="BS80" s="16"/>
      <c r="BT80" s="16"/>
      <c r="BU80" s="16"/>
      <c r="BV80" s="16"/>
    </row>
    <row r="81" spans="1:74" s="15" customFormat="1" ht="18.75" x14ac:dyDescent="0.2">
      <c r="A81" s="136">
        <f>IF(F81&lt;&gt;"",1+MAX($A$1:A80),"")</f>
        <v>46</v>
      </c>
      <c r="B81" s="145"/>
      <c r="C81" s="137"/>
      <c r="D81" s="138"/>
      <c r="E81" s="164" t="s">
        <v>220</v>
      </c>
      <c r="F81" s="140">
        <v>8</v>
      </c>
      <c r="G81" s="96">
        <v>0</v>
      </c>
      <c r="H81" s="141">
        <f t="shared" ref="H81" si="37">F81*(1+G81)</f>
        <v>8</v>
      </c>
      <c r="I81" s="142" t="s">
        <v>201</v>
      </c>
      <c r="J81" s="140">
        <f>SUM(K67:K80)</f>
        <v>0</v>
      </c>
      <c r="K81" s="97">
        <f>J81*H81</f>
        <v>0</v>
      </c>
      <c r="L81" s="144"/>
      <c r="M81" s="16"/>
      <c r="N81" s="16"/>
      <c r="O81" s="16"/>
      <c r="P81" s="16"/>
      <c r="Q81" s="16"/>
      <c r="R81" s="16"/>
      <c r="S81" s="16"/>
      <c r="T81" s="16"/>
      <c r="U81" s="16"/>
      <c r="V81" s="16"/>
      <c r="W81" s="16"/>
      <c r="X81" s="16"/>
      <c r="Y81" s="16"/>
      <c r="Z81" s="16"/>
      <c r="AA81" s="16"/>
      <c r="AB81" s="16"/>
      <c r="AC81" s="16"/>
      <c r="AD81" s="16"/>
      <c r="AE81" s="16"/>
      <c r="AF81" s="16"/>
      <c r="AG81" s="16"/>
      <c r="AH81" s="16"/>
      <c r="AI81" s="16"/>
      <c r="AJ81" s="16"/>
      <c r="AK81" s="16"/>
      <c r="AL81" s="16"/>
      <c r="AM81" s="16"/>
      <c r="AN81" s="16"/>
      <c r="AO81" s="16"/>
      <c r="AP81" s="16"/>
      <c r="AQ81" s="16"/>
      <c r="AR81" s="16"/>
      <c r="AS81" s="16"/>
      <c r="AT81" s="16"/>
      <c r="AU81" s="16"/>
      <c r="AV81" s="16"/>
      <c r="AW81" s="16"/>
      <c r="AX81" s="16"/>
      <c r="AY81" s="16"/>
      <c r="AZ81" s="16"/>
      <c r="BA81" s="16"/>
      <c r="BB81" s="16"/>
      <c r="BC81" s="16"/>
      <c r="BD81" s="16"/>
      <c r="BE81" s="16"/>
      <c r="BF81" s="16"/>
      <c r="BG81" s="16"/>
      <c r="BH81" s="16"/>
      <c r="BI81" s="16"/>
      <c r="BJ81" s="16"/>
      <c r="BK81" s="16"/>
      <c r="BL81" s="16"/>
      <c r="BM81" s="16"/>
      <c r="BN81" s="16"/>
      <c r="BO81" s="16"/>
      <c r="BP81" s="16"/>
      <c r="BQ81" s="16"/>
      <c r="BR81" s="16"/>
      <c r="BS81" s="16"/>
      <c r="BT81" s="16"/>
      <c r="BU81" s="16"/>
      <c r="BV81" s="16"/>
    </row>
    <row r="82" spans="1:74" s="16" customFormat="1" ht="18.75" x14ac:dyDescent="0.2">
      <c r="A82" s="136" t="str">
        <f>IF(F82&lt;&gt;"",1+MAX($A$1:A81),"")</f>
        <v/>
      </c>
      <c r="B82" s="145"/>
      <c r="C82" s="137"/>
      <c r="D82" s="138"/>
      <c r="E82" s="164"/>
      <c r="F82" s="140"/>
      <c r="G82" s="96"/>
      <c r="H82" s="141"/>
      <c r="I82" s="142"/>
      <c r="J82" s="140"/>
      <c r="K82" s="97"/>
      <c r="L82" s="144"/>
    </row>
    <row r="83" spans="1:74" s="15" customFormat="1" ht="63" x14ac:dyDescent="0.2">
      <c r="A83" s="136" t="str">
        <f>IF(F83&lt;&gt;"",1+MAX($A$1:A82),"")</f>
        <v/>
      </c>
      <c r="B83" s="145"/>
      <c r="C83" s="137"/>
      <c r="D83" s="138"/>
      <c r="E83" s="164" t="s">
        <v>206</v>
      </c>
      <c r="F83" s="140"/>
      <c r="G83" s="96"/>
      <c r="H83" s="141"/>
      <c r="I83" s="150"/>
      <c r="J83" s="21"/>
      <c r="K83" s="97"/>
      <c r="L83" s="144"/>
      <c r="M83" s="16"/>
      <c r="N83" s="16"/>
      <c r="O83" s="16"/>
      <c r="P83" s="16"/>
      <c r="Q83" s="16"/>
      <c r="R83" s="16"/>
      <c r="S83" s="16"/>
      <c r="T83" s="16"/>
      <c r="U83" s="16"/>
      <c r="V83" s="16"/>
      <c r="W83" s="16"/>
      <c r="X83" s="16"/>
      <c r="Y83" s="16"/>
      <c r="Z83" s="16"/>
      <c r="AA83" s="16"/>
      <c r="AB83" s="16"/>
      <c r="AC83" s="16"/>
      <c r="AD83" s="16"/>
      <c r="AE83" s="16"/>
      <c r="AF83" s="16"/>
      <c r="AG83" s="16"/>
      <c r="AH83" s="16"/>
      <c r="AI83" s="16"/>
      <c r="AJ83" s="16"/>
      <c r="AK83" s="16"/>
      <c r="AL83" s="16"/>
      <c r="AM83" s="16"/>
      <c r="AN83" s="16"/>
      <c r="AO83" s="16"/>
      <c r="AP83" s="16"/>
      <c r="AQ83" s="16"/>
      <c r="AR83" s="16"/>
      <c r="AS83" s="16"/>
      <c r="AT83" s="16"/>
      <c r="AU83" s="16"/>
      <c r="AV83" s="16"/>
      <c r="AW83" s="16"/>
      <c r="AX83" s="16"/>
      <c r="AY83" s="16"/>
      <c r="AZ83" s="16"/>
      <c r="BA83" s="16"/>
      <c r="BB83" s="16"/>
      <c r="BC83" s="16"/>
      <c r="BD83" s="16"/>
      <c r="BE83" s="16"/>
      <c r="BF83" s="16"/>
      <c r="BG83" s="16"/>
      <c r="BH83" s="16"/>
      <c r="BI83" s="16"/>
      <c r="BJ83" s="16"/>
      <c r="BK83" s="16"/>
      <c r="BL83" s="16"/>
      <c r="BM83" s="16"/>
      <c r="BN83" s="16"/>
      <c r="BO83" s="16"/>
      <c r="BP83" s="16"/>
      <c r="BQ83" s="16"/>
      <c r="BR83" s="16"/>
      <c r="BS83" s="16"/>
      <c r="BT83" s="16"/>
      <c r="BU83" s="16"/>
      <c r="BV83" s="16"/>
    </row>
    <row r="84" spans="1:74" s="15" customFormat="1" ht="18.75" x14ac:dyDescent="0.2">
      <c r="A84" s="136">
        <f>IF(F84&lt;&gt;"",1+MAX($A$1:A83),"")</f>
        <v>47</v>
      </c>
      <c r="B84" s="137" t="s">
        <v>186</v>
      </c>
      <c r="C84" s="137" t="s">
        <v>190</v>
      </c>
      <c r="D84" s="138"/>
      <c r="E84" s="139" t="s">
        <v>195</v>
      </c>
      <c r="F84" s="165">
        <f>4*1.5*1/27</f>
        <v>0.22222222222222221</v>
      </c>
      <c r="G84" s="96">
        <v>7.0000000000000007E-2</v>
      </c>
      <c r="H84" s="166">
        <f t="shared" ref="H84:H88" si="38">F84*(1+G84)</f>
        <v>0.23777777777777778</v>
      </c>
      <c r="I84" s="142" t="s">
        <v>108</v>
      </c>
      <c r="J84" s="21">
        <f>J$36</f>
        <v>0</v>
      </c>
      <c r="K84" s="97">
        <f t="shared" ref="K84:K88" si="39">J84*H84</f>
        <v>0</v>
      </c>
      <c r="L84" s="144"/>
      <c r="M84" s="16"/>
      <c r="N84" s="16"/>
      <c r="O84" s="16"/>
      <c r="P84" s="16"/>
      <c r="Q84" s="16"/>
      <c r="R84" s="16"/>
      <c r="S84" s="16"/>
      <c r="T84" s="16"/>
      <c r="U84" s="16"/>
      <c r="V84" s="16"/>
      <c r="W84" s="16"/>
      <c r="X84" s="16"/>
      <c r="Y84" s="16"/>
      <c r="Z84" s="16"/>
      <c r="AA84" s="16"/>
      <c r="AB84" s="16"/>
      <c r="AC84" s="16"/>
      <c r="AD84" s="16"/>
      <c r="AE84" s="16"/>
      <c r="AF84" s="16"/>
      <c r="AG84" s="16"/>
      <c r="AH84" s="16"/>
      <c r="AI84" s="16"/>
      <c r="AJ84" s="16"/>
      <c r="AK84" s="16"/>
      <c r="AL84" s="16"/>
      <c r="AM84" s="16"/>
      <c r="AN84" s="16"/>
      <c r="AO84" s="16"/>
      <c r="AP84" s="16"/>
      <c r="AQ84" s="16"/>
      <c r="AR84" s="16"/>
      <c r="AS84" s="16"/>
      <c r="AT84" s="16"/>
      <c r="AU84" s="16"/>
      <c r="AV84" s="16"/>
      <c r="AW84" s="16"/>
      <c r="AX84" s="16"/>
      <c r="AY84" s="16"/>
      <c r="AZ84" s="16"/>
      <c r="BA84" s="16"/>
      <c r="BB84" s="16"/>
      <c r="BC84" s="16"/>
      <c r="BD84" s="16"/>
      <c r="BE84" s="16"/>
      <c r="BF84" s="16"/>
      <c r="BG84" s="16"/>
      <c r="BH84" s="16"/>
      <c r="BI84" s="16"/>
      <c r="BJ84" s="16"/>
      <c r="BK84" s="16"/>
      <c r="BL84" s="16"/>
      <c r="BM84" s="16"/>
      <c r="BN84" s="16"/>
      <c r="BO84" s="16"/>
      <c r="BP84" s="16"/>
      <c r="BQ84" s="16"/>
      <c r="BR84" s="16"/>
      <c r="BS84" s="16"/>
      <c r="BT84" s="16"/>
      <c r="BU84" s="16"/>
      <c r="BV84" s="16"/>
    </row>
    <row r="85" spans="1:74" s="15" customFormat="1" ht="18.75" x14ac:dyDescent="0.2">
      <c r="A85" s="136">
        <f>IF(F85&lt;&gt;"",1+MAX($A$1:A84),"")</f>
        <v>48</v>
      </c>
      <c r="B85" s="137" t="s">
        <v>186</v>
      </c>
      <c r="C85" s="137" t="s">
        <v>190</v>
      </c>
      <c r="D85" s="138"/>
      <c r="E85" s="139" t="s">
        <v>196</v>
      </c>
      <c r="F85" s="140">
        <f>2*4*0.668*1.2</f>
        <v>6.4127999999999998</v>
      </c>
      <c r="G85" s="96">
        <v>7.0000000000000007E-2</v>
      </c>
      <c r="H85" s="141">
        <f t="shared" si="38"/>
        <v>6.8616960000000002</v>
      </c>
      <c r="I85" s="142" t="s">
        <v>109</v>
      </c>
      <c r="J85" s="155">
        <f t="shared" ref="J85:J86" si="40">J$37</f>
        <v>0</v>
      </c>
      <c r="K85" s="97">
        <f t="shared" si="39"/>
        <v>0</v>
      </c>
      <c r="L85" s="144"/>
      <c r="M85" s="16"/>
      <c r="N85" s="16"/>
      <c r="O85" s="16"/>
      <c r="P85" s="16"/>
      <c r="Q85" s="16"/>
      <c r="R85" s="16"/>
      <c r="S85" s="16"/>
      <c r="T85" s="16"/>
      <c r="U85" s="16"/>
      <c r="V85" s="16"/>
      <c r="W85" s="16"/>
      <c r="X85" s="16"/>
      <c r="Y85" s="16"/>
      <c r="Z85" s="16"/>
      <c r="AA85" s="16"/>
      <c r="AB85" s="16"/>
      <c r="AC85" s="16"/>
      <c r="AD85" s="16"/>
      <c r="AE85" s="16"/>
      <c r="AF85" s="16"/>
      <c r="AG85" s="16"/>
      <c r="AH85" s="16"/>
      <c r="AI85" s="16"/>
      <c r="AJ85" s="16"/>
      <c r="AK85" s="16"/>
      <c r="AL85" s="16"/>
      <c r="AM85" s="16"/>
      <c r="AN85" s="16"/>
      <c r="AO85" s="16"/>
      <c r="AP85" s="16"/>
      <c r="AQ85" s="16"/>
      <c r="AR85" s="16"/>
      <c r="AS85" s="16"/>
      <c r="AT85" s="16"/>
      <c r="AU85" s="16"/>
      <c r="AV85" s="16"/>
      <c r="AW85" s="16"/>
      <c r="AX85" s="16"/>
      <c r="AY85" s="16"/>
      <c r="AZ85" s="16"/>
      <c r="BA85" s="16"/>
      <c r="BB85" s="16"/>
      <c r="BC85" s="16"/>
      <c r="BD85" s="16"/>
      <c r="BE85" s="16"/>
      <c r="BF85" s="16"/>
      <c r="BG85" s="16"/>
      <c r="BH85" s="16"/>
      <c r="BI85" s="16"/>
      <c r="BJ85" s="16"/>
      <c r="BK85" s="16"/>
      <c r="BL85" s="16"/>
      <c r="BM85" s="16"/>
      <c r="BN85" s="16"/>
      <c r="BO85" s="16"/>
      <c r="BP85" s="16"/>
      <c r="BQ85" s="16"/>
      <c r="BR85" s="16"/>
      <c r="BS85" s="16"/>
      <c r="BT85" s="16"/>
      <c r="BU85" s="16"/>
      <c r="BV85" s="16"/>
    </row>
    <row r="86" spans="1:74" s="15" customFormat="1" ht="18.75" x14ac:dyDescent="0.2">
      <c r="A86" s="136">
        <f>IF(F86&lt;&gt;"",1+MAX($A$1:A85),"")</f>
        <v>49</v>
      </c>
      <c r="B86" s="137" t="s">
        <v>186</v>
      </c>
      <c r="C86" s="137" t="s">
        <v>190</v>
      </c>
      <c r="D86" s="138"/>
      <c r="E86" s="139" t="s">
        <v>197</v>
      </c>
      <c r="F86" s="140">
        <f>((4*12/24)+1)*1.5*0.668*1.2</f>
        <v>3.6072000000000002</v>
      </c>
      <c r="G86" s="96">
        <v>7.0000000000000007E-2</v>
      </c>
      <c r="H86" s="141">
        <f t="shared" si="38"/>
        <v>3.8597040000000002</v>
      </c>
      <c r="I86" s="142" t="s">
        <v>109</v>
      </c>
      <c r="J86" s="155">
        <f t="shared" si="40"/>
        <v>0</v>
      </c>
      <c r="K86" s="97">
        <f t="shared" si="39"/>
        <v>0</v>
      </c>
      <c r="L86" s="144"/>
      <c r="M86" s="16"/>
      <c r="N86" s="16"/>
      <c r="O86" s="16"/>
      <c r="P86" s="16"/>
      <c r="Q86" s="16"/>
      <c r="R86" s="16"/>
      <c r="S86" s="16"/>
      <c r="T86" s="16"/>
      <c r="U86" s="16"/>
      <c r="V86" s="16"/>
      <c r="W86" s="16"/>
      <c r="X86" s="16"/>
      <c r="Y86" s="16"/>
      <c r="Z86" s="16"/>
      <c r="AA86" s="16"/>
      <c r="AB86" s="16"/>
      <c r="AC86" s="16"/>
      <c r="AD86" s="16"/>
      <c r="AE86" s="16"/>
      <c r="AF86" s="16"/>
      <c r="AG86" s="16"/>
      <c r="AH86" s="16"/>
      <c r="AI86" s="16"/>
      <c r="AJ86" s="16"/>
      <c r="AK86" s="16"/>
      <c r="AL86" s="16"/>
      <c r="AM86" s="16"/>
      <c r="AN86" s="16"/>
      <c r="AO86" s="16"/>
      <c r="AP86" s="16"/>
      <c r="AQ86" s="16"/>
      <c r="AR86" s="16"/>
      <c r="AS86" s="16"/>
      <c r="AT86" s="16"/>
      <c r="AU86" s="16"/>
      <c r="AV86" s="16"/>
      <c r="AW86" s="16"/>
      <c r="AX86" s="16"/>
      <c r="AY86" s="16"/>
      <c r="AZ86" s="16"/>
      <c r="BA86" s="16"/>
      <c r="BB86" s="16"/>
      <c r="BC86" s="16"/>
      <c r="BD86" s="16"/>
      <c r="BE86" s="16"/>
      <c r="BF86" s="16"/>
      <c r="BG86" s="16"/>
      <c r="BH86" s="16"/>
      <c r="BI86" s="16"/>
      <c r="BJ86" s="16"/>
      <c r="BK86" s="16"/>
      <c r="BL86" s="16"/>
      <c r="BM86" s="16"/>
      <c r="BN86" s="16"/>
      <c r="BO86" s="16"/>
      <c r="BP86" s="16"/>
      <c r="BQ86" s="16"/>
      <c r="BR86" s="16"/>
      <c r="BS86" s="16"/>
      <c r="BT86" s="16"/>
      <c r="BU86" s="16"/>
      <c r="BV86" s="16"/>
    </row>
    <row r="87" spans="1:74" s="15" customFormat="1" ht="18.75" x14ac:dyDescent="0.2">
      <c r="A87" s="136">
        <f>IF(F87&lt;&gt;"",1+MAX($A$1:A86),"")</f>
        <v>50</v>
      </c>
      <c r="B87" s="137" t="s">
        <v>186</v>
      </c>
      <c r="C87" s="137" t="s">
        <v>190</v>
      </c>
      <c r="D87" s="138"/>
      <c r="E87" s="139" t="s">
        <v>110</v>
      </c>
      <c r="F87" s="140">
        <f>4*1</f>
        <v>4</v>
      </c>
      <c r="G87" s="96">
        <v>7.0000000000000007E-2</v>
      </c>
      <c r="H87" s="141">
        <f t="shared" si="38"/>
        <v>4.28</v>
      </c>
      <c r="I87" s="142" t="s">
        <v>111</v>
      </c>
      <c r="J87" s="155">
        <f>J$39</f>
        <v>0</v>
      </c>
      <c r="K87" s="97">
        <f t="shared" si="39"/>
        <v>0</v>
      </c>
      <c r="L87" s="144"/>
      <c r="M87" s="16"/>
      <c r="N87" s="16"/>
      <c r="O87" s="16"/>
      <c r="P87" s="16"/>
      <c r="Q87" s="16"/>
      <c r="R87" s="16"/>
      <c r="S87" s="16"/>
      <c r="T87" s="16"/>
      <c r="U87" s="16"/>
      <c r="V87" s="16"/>
      <c r="W87" s="16"/>
      <c r="X87" s="16"/>
      <c r="Y87" s="16"/>
      <c r="Z87" s="16"/>
      <c r="AA87" s="16"/>
      <c r="AB87" s="16"/>
      <c r="AC87" s="16"/>
      <c r="AD87" s="16"/>
      <c r="AE87" s="16"/>
      <c r="AF87" s="16"/>
      <c r="AG87" s="16"/>
      <c r="AH87" s="16"/>
      <c r="AI87" s="16"/>
      <c r="AJ87" s="16"/>
      <c r="AK87" s="16"/>
      <c r="AL87" s="16"/>
      <c r="AM87" s="16"/>
      <c r="AN87" s="16"/>
      <c r="AO87" s="16"/>
      <c r="AP87" s="16"/>
      <c r="AQ87" s="16"/>
      <c r="AR87" s="16"/>
      <c r="AS87" s="16"/>
      <c r="AT87" s="16"/>
      <c r="AU87" s="16"/>
      <c r="AV87" s="16"/>
      <c r="AW87" s="16"/>
      <c r="AX87" s="16"/>
      <c r="AY87" s="16"/>
      <c r="AZ87" s="16"/>
      <c r="BA87" s="16"/>
      <c r="BB87" s="16"/>
      <c r="BC87" s="16"/>
      <c r="BD87" s="16"/>
      <c r="BE87" s="16"/>
      <c r="BF87" s="16"/>
      <c r="BG87" s="16"/>
      <c r="BH87" s="16"/>
      <c r="BI87" s="16"/>
      <c r="BJ87" s="16"/>
      <c r="BK87" s="16"/>
      <c r="BL87" s="16"/>
      <c r="BM87" s="16"/>
      <c r="BN87" s="16"/>
      <c r="BO87" s="16"/>
      <c r="BP87" s="16"/>
      <c r="BQ87" s="16"/>
      <c r="BR87" s="16"/>
      <c r="BS87" s="16"/>
      <c r="BT87" s="16"/>
      <c r="BU87" s="16"/>
      <c r="BV87" s="16"/>
    </row>
    <row r="88" spans="1:74" s="15" customFormat="1" ht="18.75" x14ac:dyDescent="0.2">
      <c r="A88" s="136">
        <f>IF(F88&lt;&gt;"",1+MAX($A$1:A87),"")</f>
        <v>51</v>
      </c>
      <c r="B88" s="137" t="s">
        <v>186</v>
      </c>
      <c r="C88" s="137" t="s">
        <v>190</v>
      </c>
      <c r="D88" s="138"/>
      <c r="E88" s="139" t="s">
        <v>112</v>
      </c>
      <c r="F88" s="165">
        <f>4*1.5*2/27</f>
        <v>0.44444444444444442</v>
      </c>
      <c r="G88" s="96">
        <v>7.0000000000000007E-2</v>
      </c>
      <c r="H88" s="166">
        <f t="shared" si="38"/>
        <v>0.47555555555555556</v>
      </c>
      <c r="I88" s="142" t="s">
        <v>108</v>
      </c>
      <c r="J88" s="155">
        <f>J$40</f>
        <v>0</v>
      </c>
      <c r="K88" s="97">
        <f t="shared" si="39"/>
        <v>0</v>
      </c>
      <c r="L88" s="144"/>
      <c r="M88" s="16"/>
      <c r="N88" s="16"/>
      <c r="O88" s="16"/>
      <c r="P88" s="16"/>
      <c r="Q88" s="16"/>
      <c r="R88" s="16"/>
      <c r="S88" s="16"/>
      <c r="T88" s="16"/>
      <c r="U88" s="16"/>
      <c r="V88" s="16"/>
      <c r="W88" s="16"/>
      <c r="X88" s="16"/>
      <c r="Y88" s="16"/>
      <c r="Z88" s="16"/>
      <c r="AA88" s="16"/>
      <c r="AB88" s="16"/>
      <c r="AC88" s="16"/>
      <c r="AD88" s="16"/>
      <c r="AE88" s="16"/>
      <c r="AF88" s="16"/>
      <c r="AG88" s="16"/>
      <c r="AH88" s="16"/>
      <c r="AI88" s="16"/>
      <c r="AJ88" s="16"/>
      <c r="AK88" s="16"/>
      <c r="AL88" s="16"/>
      <c r="AM88" s="16"/>
      <c r="AN88" s="16"/>
      <c r="AO88" s="16"/>
      <c r="AP88" s="16"/>
      <c r="AQ88" s="16"/>
      <c r="AR88" s="16"/>
      <c r="AS88" s="16"/>
      <c r="AT88" s="16"/>
      <c r="AU88" s="16"/>
      <c r="AV88" s="16"/>
      <c r="AW88" s="16"/>
      <c r="AX88" s="16"/>
      <c r="AY88" s="16"/>
      <c r="AZ88" s="16"/>
      <c r="BA88" s="16"/>
      <c r="BB88" s="16"/>
      <c r="BC88" s="16"/>
      <c r="BD88" s="16"/>
      <c r="BE88" s="16"/>
      <c r="BF88" s="16"/>
      <c r="BG88" s="16"/>
      <c r="BH88" s="16"/>
      <c r="BI88" s="16"/>
      <c r="BJ88" s="16"/>
      <c r="BK88" s="16"/>
      <c r="BL88" s="16"/>
      <c r="BM88" s="16"/>
      <c r="BN88" s="16"/>
      <c r="BO88" s="16"/>
      <c r="BP88" s="16"/>
      <c r="BQ88" s="16"/>
      <c r="BR88" s="16"/>
      <c r="BS88" s="16"/>
      <c r="BT88" s="16"/>
      <c r="BU88" s="16"/>
      <c r="BV88" s="16"/>
    </row>
    <row r="89" spans="1:74" s="15" customFormat="1" ht="18.75" x14ac:dyDescent="0.2">
      <c r="A89" s="136" t="str">
        <f>IF(F89&lt;&gt;"",1+MAX($A$1:A88),"")</f>
        <v/>
      </c>
      <c r="B89" s="145"/>
      <c r="C89" s="137"/>
      <c r="D89" s="138"/>
      <c r="E89" s="139"/>
      <c r="F89" s="140"/>
      <c r="G89" s="96"/>
      <c r="H89" s="141"/>
      <c r="I89" s="142"/>
      <c r="J89" s="155"/>
      <c r="K89" s="97"/>
      <c r="L89" s="144"/>
      <c r="M89" s="16"/>
      <c r="N89" s="16"/>
      <c r="O89" s="16"/>
      <c r="P89" s="16"/>
      <c r="Q89" s="16"/>
      <c r="R89" s="16"/>
      <c r="S89" s="16"/>
      <c r="T89" s="16"/>
      <c r="U89" s="16"/>
      <c r="V89" s="16"/>
      <c r="W89" s="16"/>
      <c r="X89" s="16"/>
      <c r="Y89" s="16"/>
      <c r="Z89" s="16"/>
      <c r="AA89" s="16"/>
      <c r="AB89" s="16"/>
      <c r="AC89" s="16"/>
      <c r="AD89" s="16"/>
      <c r="AE89" s="16"/>
      <c r="AF89" s="16"/>
      <c r="AG89" s="16"/>
      <c r="AH89" s="16"/>
      <c r="AI89" s="16"/>
      <c r="AJ89" s="16"/>
      <c r="AK89" s="16"/>
      <c r="AL89" s="16"/>
      <c r="AM89" s="16"/>
      <c r="AN89" s="16"/>
      <c r="AO89" s="16"/>
      <c r="AP89" s="16"/>
      <c r="AQ89" s="16"/>
      <c r="AR89" s="16"/>
      <c r="AS89" s="16"/>
      <c r="AT89" s="16"/>
      <c r="AU89" s="16"/>
      <c r="AV89" s="16"/>
      <c r="AW89" s="16"/>
      <c r="AX89" s="16"/>
      <c r="AY89" s="16"/>
      <c r="AZ89" s="16"/>
      <c r="BA89" s="16"/>
      <c r="BB89" s="16"/>
      <c r="BC89" s="16"/>
      <c r="BD89" s="16"/>
      <c r="BE89" s="16"/>
      <c r="BF89" s="16"/>
      <c r="BG89" s="16"/>
      <c r="BH89" s="16"/>
      <c r="BI89" s="16"/>
      <c r="BJ89" s="16"/>
      <c r="BK89" s="16"/>
      <c r="BL89" s="16"/>
      <c r="BM89" s="16"/>
      <c r="BN89" s="16"/>
      <c r="BO89" s="16"/>
      <c r="BP89" s="16"/>
      <c r="BQ89" s="16"/>
      <c r="BR89" s="16"/>
      <c r="BS89" s="16"/>
      <c r="BT89" s="16"/>
      <c r="BU89" s="16"/>
      <c r="BV89" s="16"/>
    </row>
    <row r="90" spans="1:74" s="15" customFormat="1" ht="63" x14ac:dyDescent="0.2">
      <c r="A90" s="136" t="str">
        <f>IF(F90&lt;&gt;"",1+MAX($A$1:A89),"")</f>
        <v/>
      </c>
      <c r="B90" s="145"/>
      <c r="C90" s="137"/>
      <c r="D90" s="138"/>
      <c r="E90" s="164" t="s">
        <v>207</v>
      </c>
      <c r="F90" s="140"/>
      <c r="G90" s="96"/>
      <c r="H90" s="141"/>
      <c r="I90" s="150"/>
      <c r="J90" s="21"/>
      <c r="K90" s="97"/>
      <c r="L90" s="144"/>
      <c r="M90" s="16"/>
      <c r="N90" s="16"/>
      <c r="O90" s="16"/>
      <c r="P90" s="16"/>
      <c r="Q90" s="16"/>
      <c r="R90" s="16"/>
      <c r="S90" s="16"/>
      <c r="T90" s="16"/>
      <c r="U90" s="16"/>
      <c r="V90" s="16"/>
      <c r="W90" s="16"/>
      <c r="X90" s="16"/>
      <c r="Y90" s="16"/>
      <c r="Z90" s="16"/>
      <c r="AA90" s="16"/>
      <c r="AB90" s="16"/>
      <c r="AC90" s="16"/>
      <c r="AD90" s="16"/>
      <c r="AE90" s="16"/>
      <c r="AF90" s="16"/>
      <c r="AG90" s="16"/>
      <c r="AH90" s="16"/>
      <c r="AI90" s="16"/>
      <c r="AJ90" s="16"/>
      <c r="AK90" s="16"/>
      <c r="AL90" s="16"/>
      <c r="AM90" s="16"/>
      <c r="AN90" s="16"/>
      <c r="AO90" s="16"/>
      <c r="AP90" s="16"/>
      <c r="AQ90" s="16"/>
      <c r="AR90" s="16"/>
      <c r="AS90" s="16"/>
      <c r="AT90" s="16"/>
      <c r="AU90" s="16"/>
      <c r="AV90" s="16"/>
      <c r="AW90" s="16"/>
      <c r="AX90" s="16"/>
      <c r="AY90" s="16"/>
      <c r="AZ90" s="16"/>
      <c r="BA90" s="16"/>
      <c r="BB90" s="16"/>
      <c r="BC90" s="16"/>
      <c r="BD90" s="16"/>
      <c r="BE90" s="16"/>
      <c r="BF90" s="16"/>
      <c r="BG90" s="16"/>
      <c r="BH90" s="16"/>
      <c r="BI90" s="16"/>
      <c r="BJ90" s="16"/>
      <c r="BK90" s="16"/>
      <c r="BL90" s="16"/>
      <c r="BM90" s="16"/>
      <c r="BN90" s="16"/>
      <c r="BO90" s="16"/>
      <c r="BP90" s="16"/>
      <c r="BQ90" s="16"/>
      <c r="BR90" s="16"/>
      <c r="BS90" s="16"/>
      <c r="BT90" s="16"/>
      <c r="BU90" s="16"/>
      <c r="BV90" s="16"/>
    </row>
    <row r="91" spans="1:74" s="15" customFormat="1" ht="18.75" x14ac:dyDescent="0.2">
      <c r="A91" s="136">
        <f>IF(F91&lt;&gt;"",1+MAX($A$1:A90),"")</f>
        <v>52</v>
      </c>
      <c r="B91" s="137" t="s">
        <v>186</v>
      </c>
      <c r="C91" s="137" t="s">
        <v>190</v>
      </c>
      <c r="D91" s="138"/>
      <c r="E91" s="139" t="s">
        <v>195</v>
      </c>
      <c r="F91" s="167">
        <f>4*1*7.334/27</f>
        <v>1.0865185185185184</v>
      </c>
      <c r="G91" s="96">
        <v>7.0000000000000007E-2</v>
      </c>
      <c r="H91" s="141">
        <f t="shared" ref="H91:H95" si="41">F91*(1+G91)</f>
        <v>1.1625748148148147</v>
      </c>
      <c r="I91" s="142" t="s">
        <v>108</v>
      </c>
      <c r="J91" s="21">
        <f>J$36</f>
        <v>0</v>
      </c>
      <c r="K91" s="97">
        <f t="shared" ref="K91:K95" si="42">J91*H91</f>
        <v>0</v>
      </c>
      <c r="L91" s="144"/>
      <c r="M91" s="16"/>
      <c r="N91" s="16"/>
      <c r="O91" s="16"/>
      <c r="P91" s="16"/>
      <c r="Q91" s="16"/>
      <c r="R91" s="16"/>
      <c r="S91" s="16"/>
      <c r="T91" s="16"/>
      <c r="U91" s="16"/>
      <c r="V91" s="16"/>
      <c r="W91" s="16"/>
      <c r="X91" s="16"/>
      <c r="Y91" s="16"/>
      <c r="Z91" s="16"/>
      <c r="AA91" s="16"/>
      <c r="AB91" s="16"/>
      <c r="AC91" s="16"/>
      <c r="AD91" s="16"/>
      <c r="AE91" s="16"/>
      <c r="AF91" s="16"/>
      <c r="AG91" s="16"/>
      <c r="AH91" s="16"/>
      <c r="AI91" s="16"/>
      <c r="AJ91" s="16"/>
      <c r="AK91" s="16"/>
      <c r="AL91" s="16"/>
      <c r="AM91" s="16"/>
      <c r="AN91" s="16"/>
      <c r="AO91" s="16"/>
      <c r="AP91" s="16"/>
      <c r="AQ91" s="16"/>
      <c r="AR91" s="16"/>
      <c r="AS91" s="16"/>
      <c r="AT91" s="16"/>
      <c r="AU91" s="16"/>
      <c r="AV91" s="16"/>
      <c r="AW91" s="16"/>
      <c r="AX91" s="16"/>
      <c r="AY91" s="16"/>
      <c r="AZ91" s="16"/>
      <c r="BA91" s="16"/>
      <c r="BB91" s="16"/>
      <c r="BC91" s="16"/>
      <c r="BD91" s="16"/>
      <c r="BE91" s="16"/>
      <c r="BF91" s="16"/>
      <c r="BG91" s="16"/>
      <c r="BH91" s="16"/>
      <c r="BI91" s="16"/>
      <c r="BJ91" s="16"/>
      <c r="BK91" s="16"/>
      <c r="BL91" s="16"/>
      <c r="BM91" s="16"/>
      <c r="BN91" s="16"/>
      <c r="BO91" s="16"/>
      <c r="BP91" s="16"/>
      <c r="BQ91" s="16"/>
      <c r="BR91" s="16"/>
      <c r="BS91" s="16"/>
      <c r="BT91" s="16"/>
      <c r="BU91" s="16"/>
      <c r="BV91" s="16"/>
    </row>
    <row r="92" spans="1:74" s="15" customFormat="1" ht="18.75" x14ac:dyDescent="0.2">
      <c r="A92" s="136">
        <f>IF(F92&lt;&gt;"",1+MAX($A$1:A91),"")</f>
        <v>53</v>
      </c>
      <c r="B92" s="137" t="s">
        <v>186</v>
      </c>
      <c r="C92" s="137" t="s">
        <v>190</v>
      </c>
      <c r="D92" s="138"/>
      <c r="E92" s="139" t="s">
        <v>199</v>
      </c>
      <c r="F92" s="140">
        <f>2*4*0.668*1.2*3</f>
        <v>19.238399999999999</v>
      </c>
      <c r="G92" s="96">
        <v>7.0000000000000007E-2</v>
      </c>
      <c r="H92" s="141">
        <f t="shared" si="41"/>
        <v>20.585087999999999</v>
      </c>
      <c r="I92" s="142" t="s">
        <v>109</v>
      </c>
      <c r="J92" s="155">
        <f t="shared" ref="J92:J93" si="43">J$37</f>
        <v>0</v>
      </c>
      <c r="K92" s="97">
        <f t="shared" si="42"/>
        <v>0</v>
      </c>
      <c r="L92" s="144"/>
      <c r="M92" s="16"/>
      <c r="N92" s="16"/>
      <c r="O92" s="16"/>
      <c r="P92" s="16"/>
      <c r="Q92" s="16"/>
      <c r="R92" s="16"/>
      <c r="S92" s="16"/>
      <c r="T92" s="16"/>
      <c r="U92" s="16"/>
      <c r="V92" s="16"/>
      <c r="W92" s="16"/>
      <c r="X92" s="16"/>
      <c r="Y92" s="16"/>
      <c r="Z92" s="16"/>
      <c r="AA92" s="16"/>
      <c r="AB92" s="16"/>
      <c r="AC92" s="16"/>
      <c r="AD92" s="16"/>
      <c r="AE92" s="16"/>
      <c r="AF92" s="16"/>
      <c r="AG92" s="16"/>
      <c r="AH92" s="16"/>
      <c r="AI92" s="16"/>
      <c r="AJ92" s="16"/>
      <c r="AK92" s="16"/>
      <c r="AL92" s="16"/>
      <c r="AM92" s="16"/>
      <c r="AN92" s="16"/>
      <c r="AO92" s="16"/>
      <c r="AP92" s="16"/>
      <c r="AQ92" s="16"/>
      <c r="AR92" s="16"/>
      <c r="AS92" s="16"/>
      <c r="AT92" s="16"/>
      <c r="AU92" s="16"/>
      <c r="AV92" s="16"/>
      <c r="AW92" s="16"/>
      <c r="AX92" s="16"/>
      <c r="AY92" s="16"/>
      <c r="AZ92" s="16"/>
      <c r="BA92" s="16"/>
      <c r="BB92" s="16"/>
      <c r="BC92" s="16"/>
      <c r="BD92" s="16"/>
      <c r="BE92" s="16"/>
      <c r="BF92" s="16"/>
      <c r="BG92" s="16"/>
      <c r="BH92" s="16"/>
      <c r="BI92" s="16"/>
      <c r="BJ92" s="16"/>
      <c r="BK92" s="16"/>
      <c r="BL92" s="16"/>
      <c r="BM92" s="16"/>
      <c r="BN92" s="16"/>
      <c r="BO92" s="16"/>
      <c r="BP92" s="16"/>
      <c r="BQ92" s="16"/>
      <c r="BR92" s="16"/>
      <c r="BS92" s="16"/>
      <c r="BT92" s="16"/>
      <c r="BU92" s="16"/>
      <c r="BV92" s="16"/>
    </row>
    <row r="93" spans="1:74" s="15" customFormat="1" ht="18.75" x14ac:dyDescent="0.2">
      <c r="A93" s="136">
        <f>IF(F93&lt;&gt;"",1+MAX($A$1:A92),"")</f>
        <v>54</v>
      </c>
      <c r="B93" s="137" t="s">
        <v>186</v>
      </c>
      <c r="C93" s="137" t="s">
        <v>190</v>
      </c>
      <c r="D93" s="138"/>
      <c r="E93" s="139" t="s">
        <v>200</v>
      </c>
      <c r="F93" s="140">
        <f>((4*12/16)+1)*7.334*0.668*1.2*2</f>
        <v>47.031475199999996</v>
      </c>
      <c r="G93" s="96">
        <v>7.0000000000000007E-2</v>
      </c>
      <c r="H93" s="141">
        <f t="shared" si="41"/>
        <v>50.323678463999997</v>
      </c>
      <c r="I93" s="142" t="s">
        <v>109</v>
      </c>
      <c r="J93" s="155">
        <f t="shared" si="43"/>
        <v>0</v>
      </c>
      <c r="K93" s="97">
        <f t="shared" si="42"/>
        <v>0</v>
      </c>
      <c r="L93" s="144"/>
      <c r="M93" s="16"/>
      <c r="N93" s="16"/>
      <c r="O93" s="16"/>
      <c r="P93" s="16"/>
      <c r="Q93" s="16"/>
      <c r="R93" s="16"/>
      <c r="S93" s="16"/>
      <c r="T93" s="16"/>
      <c r="U93" s="16"/>
      <c r="V93" s="16"/>
      <c r="W93" s="16"/>
      <c r="X93" s="16"/>
      <c r="Y93" s="16"/>
      <c r="Z93" s="16"/>
      <c r="AA93" s="16"/>
      <c r="AB93" s="16"/>
      <c r="AC93" s="16"/>
      <c r="AD93" s="16"/>
      <c r="AE93" s="16"/>
      <c r="AF93" s="16"/>
      <c r="AG93" s="16"/>
      <c r="AH93" s="16"/>
      <c r="AI93" s="16"/>
      <c r="AJ93" s="16"/>
      <c r="AK93" s="16"/>
      <c r="AL93" s="16"/>
      <c r="AM93" s="16"/>
      <c r="AN93" s="16"/>
      <c r="AO93" s="16"/>
      <c r="AP93" s="16"/>
      <c r="AQ93" s="16"/>
      <c r="AR93" s="16"/>
      <c r="AS93" s="16"/>
      <c r="AT93" s="16"/>
      <c r="AU93" s="16"/>
      <c r="AV93" s="16"/>
      <c r="AW93" s="16"/>
      <c r="AX93" s="16"/>
      <c r="AY93" s="16"/>
      <c r="AZ93" s="16"/>
      <c r="BA93" s="16"/>
      <c r="BB93" s="16"/>
      <c r="BC93" s="16"/>
      <c r="BD93" s="16"/>
      <c r="BE93" s="16"/>
      <c r="BF93" s="16"/>
      <c r="BG93" s="16"/>
      <c r="BH93" s="16"/>
      <c r="BI93" s="16"/>
      <c r="BJ93" s="16"/>
      <c r="BK93" s="16"/>
      <c r="BL93" s="16"/>
      <c r="BM93" s="16"/>
      <c r="BN93" s="16"/>
      <c r="BO93" s="16"/>
      <c r="BP93" s="16"/>
      <c r="BQ93" s="16"/>
      <c r="BR93" s="16"/>
      <c r="BS93" s="16"/>
      <c r="BT93" s="16"/>
      <c r="BU93" s="16"/>
      <c r="BV93" s="16"/>
    </row>
    <row r="94" spans="1:74" s="15" customFormat="1" ht="18.75" x14ac:dyDescent="0.2">
      <c r="A94" s="136">
        <f>IF(F94&lt;&gt;"",1+MAX($A$1:A93),"")</f>
        <v>55</v>
      </c>
      <c r="B94" s="137" t="s">
        <v>186</v>
      </c>
      <c r="C94" s="137" t="s">
        <v>190</v>
      </c>
      <c r="D94" s="138"/>
      <c r="E94" s="139" t="s">
        <v>110</v>
      </c>
      <c r="F94" s="140">
        <f>4*7.334</f>
        <v>29.335999999999999</v>
      </c>
      <c r="G94" s="96">
        <v>7.0000000000000007E-2</v>
      </c>
      <c r="H94" s="141">
        <f t="shared" si="41"/>
        <v>31.389520000000001</v>
      </c>
      <c r="I94" s="142" t="s">
        <v>111</v>
      </c>
      <c r="J94" s="155">
        <f>J$39</f>
        <v>0</v>
      </c>
      <c r="K94" s="97">
        <f t="shared" si="42"/>
        <v>0</v>
      </c>
      <c r="L94" s="144"/>
      <c r="M94" s="16"/>
      <c r="N94" s="16"/>
      <c r="O94" s="16"/>
      <c r="P94" s="16"/>
      <c r="Q94" s="16"/>
      <c r="R94" s="16"/>
      <c r="S94" s="16"/>
      <c r="T94" s="16"/>
      <c r="U94" s="16"/>
      <c r="V94" s="16"/>
      <c r="W94" s="16"/>
      <c r="X94" s="16"/>
      <c r="Y94" s="16"/>
      <c r="Z94" s="16"/>
      <c r="AA94" s="16"/>
      <c r="AB94" s="16"/>
      <c r="AC94" s="16"/>
      <c r="AD94" s="16"/>
      <c r="AE94" s="16"/>
      <c r="AF94" s="16"/>
      <c r="AG94" s="16"/>
      <c r="AH94" s="16"/>
      <c r="AI94" s="16"/>
      <c r="AJ94" s="16"/>
      <c r="AK94" s="16"/>
      <c r="AL94" s="16"/>
      <c r="AM94" s="16"/>
      <c r="AN94" s="16"/>
      <c r="AO94" s="16"/>
      <c r="AP94" s="16"/>
      <c r="AQ94" s="16"/>
      <c r="AR94" s="16"/>
      <c r="AS94" s="16"/>
      <c r="AT94" s="16"/>
      <c r="AU94" s="16"/>
      <c r="AV94" s="16"/>
      <c r="AW94" s="16"/>
      <c r="AX94" s="16"/>
      <c r="AY94" s="16"/>
      <c r="AZ94" s="16"/>
      <c r="BA94" s="16"/>
      <c r="BB94" s="16"/>
      <c r="BC94" s="16"/>
      <c r="BD94" s="16"/>
      <c r="BE94" s="16"/>
      <c r="BF94" s="16"/>
      <c r="BG94" s="16"/>
      <c r="BH94" s="16"/>
      <c r="BI94" s="16"/>
      <c r="BJ94" s="16"/>
      <c r="BK94" s="16"/>
      <c r="BL94" s="16"/>
      <c r="BM94" s="16"/>
      <c r="BN94" s="16"/>
      <c r="BO94" s="16"/>
      <c r="BP94" s="16"/>
      <c r="BQ94" s="16"/>
      <c r="BR94" s="16"/>
      <c r="BS94" s="16"/>
      <c r="BT94" s="16"/>
      <c r="BU94" s="16"/>
      <c r="BV94" s="16"/>
    </row>
    <row r="95" spans="1:74" s="15" customFormat="1" ht="18.75" x14ac:dyDescent="0.2">
      <c r="A95" s="136">
        <f>IF(F95&lt;&gt;"",1+MAX($A$1:A94),"")</f>
        <v>56</v>
      </c>
      <c r="B95" s="137" t="s">
        <v>186</v>
      </c>
      <c r="C95" s="137" t="s">
        <v>190</v>
      </c>
      <c r="D95" s="138"/>
      <c r="E95" s="139" t="s">
        <v>112</v>
      </c>
      <c r="F95" s="140">
        <f>4*1*7.334/27</f>
        <v>1.0865185185185184</v>
      </c>
      <c r="G95" s="96">
        <v>7.0000000000000007E-2</v>
      </c>
      <c r="H95" s="141">
        <f t="shared" si="41"/>
        <v>1.1625748148148147</v>
      </c>
      <c r="I95" s="142" t="s">
        <v>108</v>
      </c>
      <c r="J95" s="155">
        <f>J$40</f>
        <v>0</v>
      </c>
      <c r="K95" s="97">
        <f t="shared" si="42"/>
        <v>0</v>
      </c>
      <c r="L95" s="144"/>
      <c r="M95" s="16"/>
      <c r="N95" s="16"/>
      <c r="O95" s="16"/>
      <c r="P95" s="16"/>
      <c r="Q95" s="16"/>
      <c r="R95" s="16"/>
      <c r="S95" s="16"/>
      <c r="T95" s="16"/>
      <c r="U95" s="16"/>
      <c r="V95" s="16"/>
      <c r="W95" s="16"/>
      <c r="X95" s="16"/>
      <c r="Y95" s="16"/>
      <c r="Z95" s="16"/>
      <c r="AA95" s="16"/>
      <c r="AB95" s="16"/>
      <c r="AC95" s="16"/>
      <c r="AD95" s="16"/>
      <c r="AE95" s="16"/>
      <c r="AF95" s="16"/>
      <c r="AG95" s="16"/>
      <c r="AH95" s="16"/>
      <c r="AI95" s="16"/>
      <c r="AJ95" s="16"/>
      <c r="AK95" s="16"/>
      <c r="AL95" s="16"/>
      <c r="AM95" s="16"/>
      <c r="AN95" s="16"/>
      <c r="AO95" s="16"/>
      <c r="AP95" s="16"/>
      <c r="AQ95" s="16"/>
      <c r="AR95" s="16"/>
      <c r="AS95" s="16"/>
      <c r="AT95" s="16"/>
      <c r="AU95" s="16"/>
      <c r="AV95" s="16"/>
      <c r="AW95" s="16"/>
      <c r="AX95" s="16"/>
      <c r="AY95" s="16"/>
      <c r="AZ95" s="16"/>
      <c r="BA95" s="16"/>
      <c r="BB95" s="16"/>
      <c r="BC95" s="16"/>
      <c r="BD95" s="16"/>
      <c r="BE95" s="16"/>
      <c r="BF95" s="16"/>
      <c r="BG95" s="16"/>
      <c r="BH95" s="16"/>
      <c r="BI95" s="16"/>
      <c r="BJ95" s="16"/>
      <c r="BK95" s="16"/>
      <c r="BL95" s="16"/>
      <c r="BM95" s="16"/>
      <c r="BN95" s="16"/>
      <c r="BO95" s="16"/>
      <c r="BP95" s="16"/>
      <c r="BQ95" s="16"/>
      <c r="BR95" s="16"/>
      <c r="BS95" s="16"/>
      <c r="BT95" s="16"/>
      <c r="BU95" s="16"/>
      <c r="BV95" s="16"/>
    </row>
    <row r="96" spans="1:74" s="15" customFormat="1" ht="18.75" x14ac:dyDescent="0.2">
      <c r="A96" s="136" t="str">
        <f>IF(F96&lt;&gt;"",1+MAX($A$1:A95),"")</f>
        <v/>
      </c>
      <c r="B96" s="145"/>
      <c r="C96" s="137"/>
      <c r="D96" s="138"/>
      <c r="E96" s="139"/>
      <c r="F96" s="140"/>
      <c r="G96" s="96"/>
      <c r="H96" s="141"/>
      <c r="I96" s="142"/>
      <c r="J96" s="155"/>
      <c r="K96" s="97"/>
      <c r="L96" s="144"/>
      <c r="M96" s="16"/>
      <c r="N96" s="16"/>
      <c r="O96" s="16"/>
      <c r="P96" s="16"/>
      <c r="Q96" s="16"/>
      <c r="R96" s="16"/>
      <c r="S96" s="16"/>
      <c r="T96" s="16"/>
      <c r="U96" s="16"/>
      <c r="V96" s="16"/>
      <c r="W96" s="16"/>
      <c r="X96" s="16"/>
      <c r="Y96" s="16"/>
      <c r="Z96" s="16"/>
      <c r="AA96" s="16"/>
      <c r="AB96" s="16"/>
      <c r="AC96" s="16"/>
      <c r="AD96" s="16"/>
      <c r="AE96" s="16"/>
      <c r="AF96" s="16"/>
      <c r="AG96" s="16"/>
      <c r="AH96" s="16"/>
      <c r="AI96" s="16"/>
      <c r="AJ96" s="16"/>
      <c r="AK96" s="16"/>
      <c r="AL96" s="16"/>
      <c r="AM96" s="16"/>
      <c r="AN96" s="16"/>
      <c r="AO96" s="16"/>
      <c r="AP96" s="16"/>
      <c r="AQ96" s="16"/>
      <c r="AR96" s="16"/>
      <c r="AS96" s="16"/>
      <c r="AT96" s="16"/>
      <c r="AU96" s="16"/>
      <c r="AV96" s="16"/>
      <c r="AW96" s="16"/>
      <c r="AX96" s="16"/>
      <c r="AY96" s="16"/>
      <c r="AZ96" s="16"/>
      <c r="BA96" s="16"/>
      <c r="BB96" s="16"/>
      <c r="BC96" s="16"/>
      <c r="BD96" s="16"/>
      <c r="BE96" s="16"/>
      <c r="BF96" s="16"/>
      <c r="BG96" s="16"/>
      <c r="BH96" s="16"/>
      <c r="BI96" s="16"/>
      <c r="BJ96" s="16"/>
      <c r="BK96" s="16"/>
      <c r="BL96" s="16"/>
      <c r="BM96" s="16"/>
      <c r="BN96" s="16"/>
      <c r="BO96" s="16"/>
      <c r="BP96" s="16"/>
      <c r="BQ96" s="16"/>
      <c r="BR96" s="16"/>
      <c r="BS96" s="16"/>
      <c r="BT96" s="16"/>
      <c r="BU96" s="16"/>
      <c r="BV96" s="16"/>
    </row>
    <row r="97" spans="1:74" s="15" customFormat="1" ht="18.75" x14ac:dyDescent="0.2">
      <c r="A97" s="136">
        <f>IF(F97&lt;&gt;"",1+MAX($A$1:A96),"")</f>
        <v>57</v>
      </c>
      <c r="B97" s="145"/>
      <c r="C97" s="137"/>
      <c r="D97" s="138"/>
      <c r="E97" s="164" t="s">
        <v>220</v>
      </c>
      <c r="F97" s="140">
        <v>7</v>
      </c>
      <c r="G97" s="96">
        <v>0</v>
      </c>
      <c r="H97" s="141">
        <f t="shared" ref="H97" si="44">F97*(1+G97)</f>
        <v>7</v>
      </c>
      <c r="I97" s="142" t="s">
        <v>201</v>
      </c>
      <c r="J97" s="140">
        <f>SUM(K83:K96)</f>
        <v>0</v>
      </c>
      <c r="K97" s="97">
        <f>J97*H97</f>
        <v>0</v>
      </c>
      <c r="L97" s="144"/>
      <c r="M97" s="16"/>
      <c r="N97" s="16"/>
      <c r="O97" s="16"/>
      <c r="P97" s="16"/>
      <c r="Q97" s="16"/>
      <c r="R97" s="16"/>
      <c r="S97" s="16"/>
      <c r="T97" s="16"/>
      <c r="U97" s="16"/>
      <c r="V97" s="16"/>
      <c r="W97" s="16"/>
      <c r="X97" s="16"/>
      <c r="Y97" s="16"/>
      <c r="Z97" s="16"/>
      <c r="AA97" s="16"/>
      <c r="AB97" s="16"/>
      <c r="AC97" s="16"/>
      <c r="AD97" s="16"/>
      <c r="AE97" s="16"/>
      <c r="AF97" s="16"/>
      <c r="AG97" s="16"/>
      <c r="AH97" s="16"/>
      <c r="AI97" s="16"/>
      <c r="AJ97" s="16"/>
      <c r="AK97" s="16"/>
      <c r="AL97" s="16"/>
      <c r="AM97" s="16"/>
      <c r="AN97" s="16"/>
      <c r="AO97" s="16"/>
      <c r="AP97" s="16"/>
      <c r="AQ97" s="16"/>
      <c r="AR97" s="16"/>
      <c r="AS97" s="16"/>
      <c r="AT97" s="16"/>
      <c r="AU97" s="16"/>
      <c r="AV97" s="16"/>
      <c r="AW97" s="16"/>
      <c r="AX97" s="16"/>
      <c r="AY97" s="16"/>
      <c r="AZ97" s="16"/>
      <c r="BA97" s="16"/>
      <c r="BB97" s="16"/>
      <c r="BC97" s="16"/>
      <c r="BD97" s="16"/>
      <c r="BE97" s="16"/>
      <c r="BF97" s="16"/>
      <c r="BG97" s="16"/>
      <c r="BH97" s="16"/>
      <c r="BI97" s="16"/>
      <c r="BJ97" s="16"/>
      <c r="BK97" s="16"/>
      <c r="BL97" s="16"/>
      <c r="BM97" s="16"/>
      <c r="BN97" s="16"/>
      <c r="BO97" s="16"/>
      <c r="BP97" s="16"/>
      <c r="BQ97" s="16"/>
      <c r="BR97" s="16"/>
      <c r="BS97" s="16"/>
      <c r="BT97" s="16"/>
      <c r="BU97" s="16"/>
      <c r="BV97" s="16"/>
    </row>
    <row r="98" spans="1:74" x14ac:dyDescent="0.2">
      <c r="A98" s="136" t="str">
        <f>IF(F98&lt;&gt;"",1+MAX($A$1:A97),"")</f>
        <v/>
      </c>
      <c r="B98" s="145"/>
      <c r="C98" s="145"/>
      <c r="D98" s="146"/>
      <c r="E98" s="159"/>
      <c r="F98" s="148"/>
      <c r="G98" s="149"/>
      <c r="H98" s="148"/>
      <c r="I98" s="150"/>
      <c r="J98" s="163"/>
      <c r="K98" s="152"/>
      <c r="L98" s="153"/>
    </row>
    <row r="99" spans="1:74" x14ac:dyDescent="0.2">
      <c r="A99" s="136" t="str">
        <f>IF(F99&lt;&gt;"",1+MAX($A$1:A98),"")</f>
        <v/>
      </c>
      <c r="B99" s="145"/>
      <c r="C99" s="145"/>
      <c r="D99" s="146"/>
      <c r="E99" s="147" t="s">
        <v>218</v>
      </c>
      <c r="F99" s="154"/>
      <c r="G99" s="149"/>
      <c r="H99" s="148"/>
      <c r="I99" s="150"/>
      <c r="J99" s="163"/>
      <c r="K99" s="123"/>
      <c r="L99" s="12">
        <f>SUM(K34:K98)</f>
        <v>0</v>
      </c>
    </row>
    <row r="100" spans="1:74" s="15" customFormat="1" ht="18.75" x14ac:dyDescent="0.2">
      <c r="A100" s="136" t="str">
        <f>IF(F100&lt;&gt;"",1+MAX($A$1:A99),"")</f>
        <v/>
      </c>
      <c r="B100" s="137"/>
      <c r="C100" s="137"/>
      <c r="D100" s="138"/>
      <c r="E100" s="168"/>
      <c r="F100" s="140"/>
      <c r="G100" s="96"/>
      <c r="H100" s="96"/>
      <c r="I100" s="96"/>
      <c r="J100" s="96"/>
      <c r="K100" s="97"/>
      <c r="L100" s="144"/>
      <c r="M100" s="16"/>
      <c r="N100" s="16"/>
      <c r="O100" s="16"/>
      <c r="P100" s="16"/>
      <c r="Q100" s="16"/>
      <c r="R100" s="16"/>
      <c r="S100" s="16"/>
      <c r="T100" s="16"/>
      <c r="U100" s="16"/>
      <c r="V100" s="16"/>
      <c r="W100" s="16"/>
      <c r="X100" s="16"/>
      <c r="Y100" s="16"/>
      <c r="Z100" s="16"/>
      <c r="AA100" s="16"/>
      <c r="AB100" s="16"/>
      <c r="AC100" s="16"/>
      <c r="AD100" s="16"/>
      <c r="AE100" s="16"/>
      <c r="AF100" s="16"/>
      <c r="AG100" s="16"/>
      <c r="AH100" s="16"/>
      <c r="AI100" s="16"/>
      <c r="AJ100" s="16"/>
      <c r="AK100" s="16"/>
      <c r="AL100" s="16"/>
      <c r="AM100" s="16"/>
      <c r="AN100" s="16"/>
      <c r="AO100" s="16"/>
      <c r="AP100" s="16"/>
      <c r="AQ100" s="16"/>
      <c r="AR100" s="16"/>
      <c r="AS100" s="16"/>
      <c r="AT100" s="16"/>
      <c r="AU100" s="16"/>
      <c r="AV100" s="16"/>
      <c r="AW100" s="16"/>
      <c r="AX100" s="16"/>
      <c r="AY100" s="16"/>
      <c r="AZ100" s="16"/>
      <c r="BA100" s="16"/>
      <c r="BB100" s="16"/>
      <c r="BC100" s="16"/>
      <c r="BD100" s="16"/>
      <c r="BE100" s="16"/>
      <c r="BF100" s="16"/>
      <c r="BG100" s="16"/>
      <c r="BH100" s="16"/>
      <c r="BI100" s="16"/>
      <c r="BJ100" s="16"/>
      <c r="BK100" s="16"/>
      <c r="BL100" s="16"/>
      <c r="BM100" s="16"/>
      <c r="BN100" s="16"/>
      <c r="BO100" s="16"/>
      <c r="BP100" s="16"/>
      <c r="BQ100" s="16"/>
      <c r="BR100" s="16"/>
      <c r="BS100" s="16"/>
      <c r="BT100" s="16"/>
      <c r="BU100" s="16"/>
      <c r="BV100" s="16"/>
    </row>
    <row r="101" spans="1:74" x14ac:dyDescent="0.2">
      <c r="A101" s="136" t="str">
        <f>IF(F101&lt;&gt;"",1+MAX($A$1:A100),"")</f>
        <v/>
      </c>
      <c r="B101" s="145"/>
      <c r="C101" s="145"/>
      <c r="D101" s="145"/>
      <c r="E101" s="161" t="s">
        <v>208</v>
      </c>
      <c r="F101" s="154"/>
      <c r="G101" s="149"/>
      <c r="H101" s="148"/>
      <c r="I101" s="150"/>
      <c r="J101" s="21"/>
      <c r="K101" s="162"/>
      <c r="L101" s="160"/>
    </row>
    <row r="102" spans="1:74" s="15" customFormat="1" ht="31.5" x14ac:dyDescent="0.2">
      <c r="A102" s="136">
        <f>IF(F102&lt;&gt;"",1+MAX($A$1:A101),"")</f>
        <v>58</v>
      </c>
      <c r="B102" s="137" t="s">
        <v>186</v>
      </c>
      <c r="C102" s="169"/>
      <c r="D102" s="170">
        <f>H102*0.334/27</f>
        <v>9.7419140740740762</v>
      </c>
      <c r="E102" s="139" t="s">
        <v>209</v>
      </c>
      <c r="F102" s="140">
        <v>736</v>
      </c>
      <c r="G102" s="96">
        <v>7.0000000000000007E-2</v>
      </c>
      <c r="H102" s="141">
        <f t="shared" ref="H102:H106" si="45">F102*(1+G102)</f>
        <v>787.5200000000001</v>
      </c>
      <c r="I102" s="142" t="s">
        <v>18</v>
      </c>
      <c r="J102" s="155">
        <v>0</v>
      </c>
      <c r="K102" s="97">
        <f>J102*H102</f>
        <v>0</v>
      </c>
      <c r="L102" s="144"/>
      <c r="M102" s="16"/>
      <c r="N102" s="16"/>
      <c r="O102" s="16"/>
      <c r="P102" s="16"/>
      <c r="Q102" s="16"/>
      <c r="R102" s="16"/>
      <c r="S102" s="16"/>
      <c r="T102" s="16"/>
      <c r="U102" s="16"/>
      <c r="V102" s="16"/>
      <c r="W102" s="16"/>
      <c r="X102" s="16"/>
      <c r="Y102" s="16"/>
      <c r="Z102" s="16"/>
      <c r="AA102" s="16"/>
      <c r="AB102" s="16"/>
      <c r="AC102" s="16"/>
      <c r="AD102" s="16"/>
      <c r="AE102" s="16"/>
      <c r="AF102" s="16"/>
      <c r="AG102" s="16"/>
      <c r="AH102" s="16"/>
      <c r="AI102" s="16"/>
      <c r="AJ102" s="16"/>
      <c r="AK102" s="16"/>
      <c r="AL102" s="16"/>
      <c r="AM102" s="16"/>
      <c r="AN102" s="16"/>
      <c r="AO102" s="16"/>
      <c r="AP102" s="16"/>
      <c r="AQ102" s="16"/>
      <c r="AR102" s="16"/>
      <c r="AS102" s="16"/>
      <c r="AT102" s="16"/>
      <c r="AU102" s="16"/>
      <c r="AV102" s="16"/>
      <c r="AW102" s="16"/>
      <c r="AX102" s="16"/>
      <c r="AY102" s="16"/>
      <c r="AZ102" s="16"/>
      <c r="BA102" s="16"/>
      <c r="BB102" s="16"/>
      <c r="BC102" s="16"/>
      <c r="BD102" s="16"/>
      <c r="BE102" s="16"/>
      <c r="BF102" s="16"/>
      <c r="BG102" s="16"/>
      <c r="BH102" s="16"/>
      <c r="BI102" s="16"/>
      <c r="BJ102" s="16"/>
      <c r="BK102" s="16"/>
      <c r="BL102" s="16"/>
      <c r="BM102" s="16"/>
      <c r="BN102" s="16"/>
      <c r="BO102" s="16"/>
      <c r="BP102" s="16"/>
      <c r="BQ102" s="16"/>
      <c r="BR102" s="16"/>
      <c r="BS102" s="16"/>
      <c r="BT102" s="16"/>
      <c r="BU102" s="16"/>
      <c r="BV102" s="16"/>
    </row>
    <row r="103" spans="1:74" s="15" customFormat="1" ht="18.75" x14ac:dyDescent="0.2">
      <c r="A103" s="136">
        <f>IF(F103&lt;&gt;"",1+MAX($A$1:A102),"")</f>
        <v>59</v>
      </c>
      <c r="B103" s="137" t="s">
        <v>186</v>
      </c>
      <c r="C103" s="169"/>
      <c r="D103" s="138"/>
      <c r="E103" s="139" t="s">
        <v>210</v>
      </c>
      <c r="F103" s="140">
        <v>736</v>
      </c>
      <c r="G103" s="96">
        <v>7.0000000000000007E-2</v>
      </c>
      <c r="H103" s="141">
        <f t="shared" si="45"/>
        <v>787.5200000000001</v>
      </c>
      <c r="I103" s="142" t="s">
        <v>18</v>
      </c>
      <c r="J103" s="155">
        <v>0</v>
      </c>
      <c r="K103" s="97">
        <f>J103*H103</f>
        <v>0</v>
      </c>
      <c r="L103" s="144"/>
      <c r="M103" s="16"/>
      <c r="N103" s="16"/>
      <c r="O103" s="16"/>
      <c r="P103" s="16"/>
      <c r="Q103" s="16"/>
      <c r="R103" s="16"/>
      <c r="S103" s="16"/>
      <c r="T103" s="16"/>
      <c r="U103" s="16"/>
      <c r="V103" s="16"/>
      <c r="W103" s="16"/>
      <c r="X103" s="16"/>
      <c r="Y103" s="16"/>
      <c r="Z103" s="16"/>
      <c r="AA103" s="16"/>
      <c r="AB103" s="16"/>
      <c r="AC103" s="16"/>
      <c r="AD103" s="16"/>
      <c r="AE103" s="16"/>
      <c r="AF103" s="16"/>
      <c r="AG103" s="16"/>
      <c r="AH103" s="16"/>
      <c r="AI103" s="16"/>
      <c r="AJ103" s="16"/>
      <c r="AK103" s="16"/>
      <c r="AL103" s="16"/>
      <c r="AM103" s="16"/>
      <c r="AN103" s="16"/>
      <c r="AO103" s="16"/>
      <c r="AP103" s="16"/>
      <c r="AQ103" s="16"/>
      <c r="AR103" s="16"/>
      <c r="AS103" s="16"/>
      <c r="AT103" s="16"/>
      <c r="AU103" s="16"/>
      <c r="AV103" s="16"/>
      <c r="AW103" s="16"/>
      <c r="AX103" s="16"/>
      <c r="AY103" s="16"/>
      <c r="AZ103" s="16"/>
      <c r="BA103" s="16"/>
      <c r="BB103" s="16"/>
      <c r="BC103" s="16"/>
      <c r="BD103" s="16"/>
      <c r="BE103" s="16"/>
      <c r="BF103" s="16"/>
      <c r="BG103" s="16"/>
      <c r="BH103" s="16"/>
      <c r="BI103" s="16"/>
      <c r="BJ103" s="16"/>
      <c r="BK103" s="16"/>
      <c r="BL103" s="16"/>
      <c r="BM103" s="16"/>
      <c r="BN103" s="16"/>
      <c r="BO103" s="16"/>
      <c r="BP103" s="16"/>
      <c r="BQ103" s="16"/>
      <c r="BR103" s="16"/>
      <c r="BS103" s="16"/>
      <c r="BT103" s="16"/>
      <c r="BU103" s="16"/>
      <c r="BV103" s="16"/>
    </row>
    <row r="104" spans="1:74" s="15" customFormat="1" ht="31.5" x14ac:dyDescent="0.2">
      <c r="A104" s="136">
        <f>IF(F104&lt;&gt;"",1+MAX($A$1:A103),"")</f>
        <v>60</v>
      </c>
      <c r="B104" s="137" t="s">
        <v>186</v>
      </c>
      <c r="C104" s="169"/>
      <c r="D104" s="138"/>
      <c r="E104" s="139" t="s">
        <v>211</v>
      </c>
      <c r="F104" s="140">
        <f>736*0.334/27</f>
        <v>9.1045925925925939</v>
      </c>
      <c r="G104" s="96">
        <v>7.0000000000000007E-2</v>
      </c>
      <c r="H104" s="141">
        <f t="shared" si="45"/>
        <v>9.7419140740740762</v>
      </c>
      <c r="I104" s="142" t="s">
        <v>108</v>
      </c>
      <c r="J104" s="155">
        <v>0</v>
      </c>
      <c r="K104" s="97">
        <f>J104*H104</f>
        <v>0</v>
      </c>
      <c r="L104" s="144"/>
      <c r="M104" s="16"/>
      <c r="N104" s="16"/>
      <c r="O104" s="16"/>
      <c r="P104" s="16"/>
      <c r="Q104" s="16"/>
      <c r="R104" s="16"/>
      <c r="S104" s="16"/>
      <c r="T104" s="16"/>
      <c r="U104" s="16"/>
      <c r="V104" s="16"/>
      <c r="W104" s="16"/>
      <c r="X104" s="16"/>
      <c r="Y104" s="16"/>
      <c r="Z104" s="16"/>
      <c r="AA104" s="16"/>
      <c r="AB104" s="16"/>
      <c r="AC104" s="16"/>
      <c r="AD104" s="16"/>
      <c r="AE104" s="16"/>
      <c r="AF104" s="16"/>
      <c r="AG104" s="16"/>
      <c r="AH104" s="16"/>
      <c r="AI104" s="16"/>
      <c r="AJ104" s="16"/>
      <c r="AK104" s="16"/>
      <c r="AL104" s="16"/>
      <c r="AM104" s="16"/>
      <c r="AN104" s="16"/>
      <c r="AO104" s="16"/>
      <c r="AP104" s="16"/>
      <c r="AQ104" s="16"/>
      <c r="AR104" s="16"/>
      <c r="AS104" s="16"/>
      <c r="AT104" s="16"/>
      <c r="AU104" s="16"/>
      <c r="AV104" s="16"/>
      <c r="AW104" s="16"/>
      <c r="AX104" s="16"/>
      <c r="AY104" s="16"/>
      <c r="AZ104" s="16"/>
      <c r="BA104" s="16"/>
      <c r="BB104" s="16"/>
      <c r="BC104" s="16"/>
      <c r="BD104" s="16"/>
      <c r="BE104" s="16"/>
      <c r="BF104" s="16"/>
      <c r="BG104" s="16"/>
      <c r="BH104" s="16"/>
      <c r="BI104" s="16"/>
      <c r="BJ104" s="16"/>
      <c r="BK104" s="16"/>
      <c r="BL104" s="16"/>
      <c r="BM104" s="16"/>
      <c r="BN104" s="16"/>
      <c r="BO104" s="16"/>
      <c r="BP104" s="16"/>
      <c r="BQ104" s="16"/>
      <c r="BR104" s="16"/>
      <c r="BS104" s="16"/>
      <c r="BT104" s="16"/>
      <c r="BU104" s="16"/>
      <c r="BV104" s="16"/>
    </row>
    <row r="105" spans="1:74" s="15" customFormat="1" ht="18.75" x14ac:dyDescent="0.2">
      <c r="A105" s="136">
        <f>IF(F105&lt;&gt;"",1+MAX($A$1:A104),"")</f>
        <v>61</v>
      </c>
      <c r="B105" s="137" t="s">
        <v>186</v>
      </c>
      <c r="C105" s="169"/>
      <c r="D105" s="138"/>
      <c r="E105" s="139" t="s">
        <v>212</v>
      </c>
      <c r="F105" s="140">
        <f>736*0.16</f>
        <v>117.76</v>
      </c>
      <c r="G105" s="96">
        <v>7.0000000000000007E-2</v>
      </c>
      <c r="H105" s="141">
        <f t="shared" si="45"/>
        <v>126.00320000000001</v>
      </c>
      <c r="I105" s="142" t="s">
        <v>15</v>
      </c>
      <c r="J105" s="155">
        <v>0</v>
      </c>
      <c r="K105" s="97">
        <f>J105*H105</f>
        <v>0</v>
      </c>
      <c r="L105" s="144"/>
      <c r="M105" s="16"/>
      <c r="N105" s="16"/>
      <c r="O105" s="16"/>
      <c r="P105" s="16"/>
      <c r="Q105" s="16"/>
      <c r="R105" s="16"/>
      <c r="S105" s="16"/>
      <c r="T105" s="16"/>
      <c r="U105" s="16"/>
      <c r="V105" s="16"/>
      <c r="W105" s="16"/>
      <c r="X105" s="16"/>
      <c r="Y105" s="16"/>
      <c r="Z105" s="16"/>
      <c r="AA105" s="16"/>
      <c r="AB105" s="16"/>
      <c r="AC105" s="16"/>
      <c r="AD105" s="16"/>
      <c r="AE105" s="16"/>
      <c r="AF105" s="16"/>
      <c r="AG105" s="16"/>
      <c r="AH105" s="16"/>
      <c r="AI105" s="16"/>
      <c r="AJ105" s="16"/>
      <c r="AK105" s="16"/>
      <c r="AL105" s="16"/>
      <c r="AM105" s="16"/>
      <c r="AN105" s="16"/>
      <c r="AO105" s="16"/>
      <c r="AP105" s="16"/>
      <c r="AQ105" s="16"/>
      <c r="AR105" s="16"/>
      <c r="AS105" s="16"/>
      <c r="AT105" s="16"/>
      <c r="AU105" s="16"/>
      <c r="AV105" s="16"/>
      <c r="AW105" s="16"/>
      <c r="AX105" s="16"/>
      <c r="AY105" s="16"/>
      <c r="AZ105" s="16"/>
      <c r="BA105" s="16"/>
      <c r="BB105" s="16"/>
      <c r="BC105" s="16"/>
      <c r="BD105" s="16"/>
      <c r="BE105" s="16"/>
      <c r="BF105" s="16"/>
      <c r="BG105" s="16"/>
      <c r="BH105" s="16"/>
      <c r="BI105" s="16"/>
      <c r="BJ105" s="16"/>
      <c r="BK105" s="16"/>
      <c r="BL105" s="16"/>
      <c r="BM105" s="16"/>
      <c r="BN105" s="16"/>
      <c r="BO105" s="16"/>
      <c r="BP105" s="16"/>
      <c r="BQ105" s="16"/>
      <c r="BR105" s="16"/>
      <c r="BS105" s="16"/>
      <c r="BT105" s="16"/>
      <c r="BU105" s="16"/>
      <c r="BV105" s="16"/>
    </row>
    <row r="106" spans="1:74" s="15" customFormat="1" ht="18.75" x14ac:dyDescent="0.2">
      <c r="A106" s="136">
        <f>IF(F106&lt;&gt;"",1+MAX($A$1:A105),"")</f>
        <v>62</v>
      </c>
      <c r="B106" s="137" t="s">
        <v>186</v>
      </c>
      <c r="C106" s="169"/>
      <c r="D106" s="138"/>
      <c r="E106" s="139" t="s">
        <v>213</v>
      </c>
      <c r="F106" s="140">
        <v>211</v>
      </c>
      <c r="G106" s="96">
        <v>7.0000000000000007E-2</v>
      </c>
      <c r="H106" s="141">
        <f t="shared" si="45"/>
        <v>225.77</v>
      </c>
      <c r="I106" s="142" t="s">
        <v>15</v>
      </c>
      <c r="J106" s="155">
        <v>0</v>
      </c>
      <c r="K106" s="97">
        <f>J106*H106</f>
        <v>0</v>
      </c>
      <c r="L106" s="144"/>
      <c r="M106" s="16"/>
      <c r="N106" s="16"/>
      <c r="O106" s="16"/>
      <c r="P106" s="16"/>
      <c r="Q106" s="16"/>
      <c r="R106" s="16"/>
      <c r="S106" s="16"/>
      <c r="T106" s="16"/>
      <c r="U106" s="16"/>
      <c r="V106" s="16"/>
      <c r="W106" s="16"/>
      <c r="X106" s="16"/>
      <c r="Y106" s="16"/>
      <c r="Z106" s="16"/>
      <c r="AA106" s="16"/>
      <c r="AB106" s="16"/>
      <c r="AC106" s="16"/>
      <c r="AD106" s="16"/>
      <c r="AE106" s="16"/>
      <c r="AF106" s="16"/>
      <c r="AG106" s="16"/>
      <c r="AH106" s="16"/>
      <c r="AI106" s="16"/>
      <c r="AJ106" s="16"/>
      <c r="AK106" s="16"/>
      <c r="AL106" s="16"/>
      <c r="AM106" s="16"/>
      <c r="AN106" s="16"/>
      <c r="AO106" s="16"/>
      <c r="AP106" s="16"/>
      <c r="AQ106" s="16"/>
      <c r="AR106" s="16"/>
      <c r="AS106" s="16"/>
      <c r="AT106" s="16"/>
      <c r="AU106" s="16"/>
      <c r="AV106" s="16"/>
      <c r="AW106" s="16"/>
      <c r="AX106" s="16"/>
      <c r="AY106" s="16"/>
      <c r="AZ106" s="16"/>
      <c r="BA106" s="16"/>
      <c r="BB106" s="16"/>
      <c r="BC106" s="16"/>
      <c r="BD106" s="16"/>
      <c r="BE106" s="16"/>
      <c r="BF106" s="16"/>
      <c r="BG106" s="16"/>
      <c r="BH106" s="16"/>
      <c r="BI106" s="16"/>
      <c r="BJ106" s="16"/>
      <c r="BK106" s="16"/>
      <c r="BL106" s="16"/>
      <c r="BM106" s="16"/>
      <c r="BN106" s="16"/>
      <c r="BO106" s="16"/>
      <c r="BP106" s="16"/>
      <c r="BQ106" s="16"/>
      <c r="BR106" s="16"/>
      <c r="BS106" s="16"/>
      <c r="BT106" s="16"/>
      <c r="BU106" s="16"/>
      <c r="BV106" s="16"/>
    </row>
    <row r="107" spans="1:74" x14ac:dyDescent="0.2">
      <c r="A107" s="136" t="str">
        <f>IF(F107&lt;&gt;"",1+MAX($A$1:A106),"")</f>
        <v/>
      </c>
      <c r="B107" s="145"/>
      <c r="C107" s="145"/>
      <c r="D107" s="146"/>
      <c r="E107" s="159"/>
      <c r="F107" s="148"/>
      <c r="G107" s="149"/>
      <c r="H107" s="148"/>
      <c r="I107" s="150"/>
      <c r="J107" s="163"/>
      <c r="K107" s="152"/>
      <c r="L107" s="153"/>
    </row>
    <row r="108" spans="1:74" x14ac:dyDescent="0.2">
      <c r="A108" s="136" t="str">
        <f>IF(F108&lt;&gt;"",1+MAX($A$1:A107),"")</f>
        <v/>
      </c>
      <c r="B108" s="145"/>
      <c r="C108" s="145"/>
      <c r="D108" s="146"/>
      <c r="E108" s="147" t="s">
        <v>217</v>
      </c>
      <c r="F108" s="154"/>
      <c r="G108" s="149"/>
      <c r="H108" s="148"/>
      <c r="I108" s="150"/>
      <c r="J108" s="163"/>
      <c r="K108" s="123"/>
      <c r="L108" s="12">
        <f>SUM(K101:K107)</f>
        <v>0</v>
      </c>
    </row>
    <row r="109" spans="1:74" s="16" customFormat="1" ht="18.75" x14ac:dyDescent="0.2">
      <c r="A109" s="136" t="str">
        <f>IF(F109&lt;&gt;"",1+MAX($A$1:A108),"")</f>
        <v/>
      </c>
      <c r="B109" s="137"/>
      <c r="C109" s="137"/>
      <c r="D109" s="138"/>
      <c r="E109" s="139"/>
      <c r="F109" s="140"/>
      <c r="G109" s="96"/>
      <c r="H109" s="141"/>
      <c r="I109" s="142"/>
      <c r="J109" s="155"/>
      <c r="K109" s="97"/>
      <c r="L109" s="144"/>
    </row>
    <row r="110" spans="1:74" s="7" customFormat="1" x14ac:dyDescent="0.2">
      <c r="A110" s="136" t="str">
        <f>IF(F110&lt;&gt;"",1+MAX($A$1:A109),"")</f>
        <v/>
      </c>
      <c r="B110" s="156"/>
      <c r="C110" s="157"/>
      <c r="D110" s="157" t="s">
        <v>88</v>
      </c>
      <c r="E110" s="158" t="s">
        <v>89</v>
      </c>
      <c r="F110" s="154"/>
      <c r="G110" s="159"/>
      <c r="H110" s="159"/>
      <c r="I110" s="159"/>
      <c r="J110" s="122"/>
      <c r="K110" s="159"/>
      <c r="L110" s="160"/>
      <c r="M110" s="93"/>
      <c r="N110" s="93"/>
      <c r="O110" s="93"/>
      <c r="P110" s="93"/>
      <c r="Q110" s="93"/>
      <c r="R110" s="93"/>
      <c r="S110" s="93"/>
      <c r="T110" s="93"/>
      <c r="U110" s="93"/>
      <c r="V110" s="93"/>
      <c r="W110" s="93"/>
      <c r="X110" s="93"/>
      <c r="Y110" s="93"/>
      <c r="Z110" s="93"/>
      <c r="AA110" s="93"/>
      <c r="AB110" s="93"/>
      <c r="AC110" s="93"/>
      <c r="AD110" s="93"/>
      <c r="AE110" s="93"/>
      <c r="AF110" s="93"/>
      <c r="AG110" s="93"/>
      <c r="AH110" s="93"/>
      <c r="AI110" s="93"/>
      <c r="AJ110" s="93"/>
      <c r="AK110" s="93"/>
      <c r="AL110" s="93"/>
      <c r="AM110" s="93"/>
      <c r="AN110" s="93"/>
      <c r="AO110" s="93"/>
      <c r="AP110" s="93"/>
      <c r="AQ110" s="93"/>
      <c r="AR110" s="93"/>
      <c r="AS110" s="93"/>
      <c r="AT110" s="93"/>
      <c r="AU110" s="93"/>
      <c r="AV110" s="93"/>
      <c r="AW110" s="93"/>
      <c r="AX110" s="93"/>
      <c r="AY110" s="93"/>
      <c r="AZ110" s="93"/>
      <c r="BA110" s="93"/>
      <c r="BB110" s="93"/>
      <c r="BC110" s="93"/>
      <c r="BD110" s="93"/>
      <c r="BE110" s="93"/>
      <c r="BF110" s="93"/>
      <c r="BG110" s="93"/>
      <c r="BH110" s="93"/>
      <c r="BI110" s="93"/>
      <c r="BJ110" s="93"/>
      <c r="BK110" s="93"/>
      <c r="BL110" s="93"/>
      <c r="BM110" s="93"/>
      <c r="BN110" s="93"/>
      <c r="BO110" s="93"/>
      <c r="BP110" s="93"/>
      <c r="BQ110" s="93"/>
      <c r="BR110" s="93"/>
      <c r="BS110" s="93"/>
      <c r="BT110" s="93"/>
      <c r="BU110" s="93"/>
      <c r="BV110" s="93"/>
    </row>
    <row r="111" spans="1:74" x14ac:dyDescent="0.2">
      <c r="A111" s="136" t="str">
        <f>IF(F111&lt;&gt;"",1+MAX($A$1:A110),"")</f>
        <v/>
      </c>
      <c r="B111" s="145"/>
      <c r="C111" s="145"/>
      <c r="D111" s="145"/>
      <c r="E111" s="161" t="s">
        <v>118</v>
      </c>
      <c r="F111" s="154"/>
      <c r="G111" s="149"/>
      <c r="H111" s="148"/>
      <c r="I111" s="150"/>
      <c r="J111" s="21"/>
      <c r="K111" s="162"/>
      <c r="L111" s="160"/>
    </row>
    <row r="112" spans="1:74" s="15" customFormat="1" ht="18.75" x14ac:dyDescent="0.2">
      <c r="A112" s="136">
        <f>IF(F112&lt;&gt;"",1+MAX($A$1:A111),"")</f>
        <v>63</v>
      </c>
      <c r="B112" s="137" t="s">
        <v>135</v>
      </c>
      <c r="C112" s="137"/>
      <c r="D112" s="138"/>
      <c r="E112" s="139" t="s">
        <v>119</v>
      </c>
      <c r="F112" s="140">
        <v>1</v>
      </c>
      <c r="G112" s="96">
        <v>0</v>
      </c>
      <c r="H112" s="141">
        <f t="shared" ref="H112" si="46">F112*(1+G112)</f>
        <v>1</v>
      </c>
      <c r="I112" s="142" t="s">
        <v>27</v>
      </c>
      <c r="J112" s="155">
        <v>0</v>
      </c>
      <c r="K112" s="97">
        <f t="shared" ref="K112" si="47">J112*H112</f>
        <v>0</v>
      </c>
      <c r="L112" s="144"/>
      <c r="M112" s="16"/>
      <c r="N112" s="16"/>
      <c r="O112" s="16"/>
      <c r="P112" s="16"/>
      <c r="Q112" s="16"/>
      <c r="R112" s="16"/>
      <c r="S112" s="16"/>
      <c r="T112" s="16"/>
      <c r="U112" s="16"/>
      <c r="V112" s="16"/>
      <c r="W112" s="16"/>
      <c r="X112" s="16"/>
      <c r="Y112" s="16"/>
      <c r="Z112" s="16"/>
      <c r="AA112" s="16"/>
      <c r="AB112" s="16"/>
      <c r="AC112" s="16"/>
      <c r="AD112" s="16"/>
      <c r="AE112" s="16"/>
      <c r="AF112" s="16"/>
      <c r="AG112" s="16"/>
      <c r="AH112" s="16"/>
      <c r="AI112" s="16"/>
      <c r="AJ112" s="16"/>
      <c r="AK112" s="16"/>
      <c r="AL112" s="16"/>
      <c r="AM112" s="16"/>
      <c r="AN112" s="16"/>
      <c r="AO112" s="16"/>
      <c r="AP112" s="16"/>
      <c r="AQ112" s="16"/>
      <c r="AR112" s="16"/>
      <c r="AS112" s="16"/>
      <c r="AT112" s="16"/>
      <c r="AU112" s="16"/>
      <c r="AV112" s="16"/>
      <c r="AW112" s="16"/>
      <c r="AX112" s="16"/>
      <c r="AY112" s="16"/>
      <c r="AZ112" s="16"/>
      <c r="BA112" s="16"/>
      <c r="BB112" s="16"/>
      <c r="BC112" s="16"/>
      <c r="BD112" s="16"/>
      <c r="BE112" s="16"/>
      <c r="BF112" s="16"/>
      <c r="BG112" s="16"/>
      <c r="BH112" s="16"/>
      <c r="BI112" s="16"/>
      <c r="BJ112" s="16"/>
      <c r="BK112" s="16"/>
      <c r="BL112" s="16"/>
      <c r="BM112" s="16"/>
      <c r="BN112" s="16"/>
      <c r="BO112" s="16"/>
      <c r="BP112" s="16"/>
      <c r="BQ112" s="16"/>
      <c r="BR112" s="16"/>
      <c r="BS112" s="16"/>
      <c r="BT112" s="16"/>
      <c r="BU112" s="16"/>
      <c r="BV112" s="16"/>
    </row>
    <row r="113" spans="1:74" x14ac:dyDescent="0.2">
      <c r="A113" s="136" t="str">
        <f>IF(F113&lt;&gt;"",1+MAX($A$1:A112),"")</f>
        <v/>
      </c>
      <c r="B113" s="145"/>
      <c r="C113" s="145"/>
      <c r="D113" s="146"/>
      <c r="E113" s="159"/>
      <c r="F113" s="148"/>
      <c r="G113" s="149"/>
      <c r="H113" s="148"/>
      <c r="I113" s="150"/>
      <c r="J113" s="163"/>
      <c r="K113" s="152"/>
      <c r="L113" s="153"/>
    </row>
    <row r="114" spans="1:74" x14ac:dyDescent="0.2">
      <c r="A114" s="136" t="str">
        <f>IF(F114&lt;&gt;"",1+MAX($A$1:A113),"")</f>
        <v/>
      </c>
      <c r="B114" s="145"/>
      <c r="C114" s="145"/>
      <c r="D114" s="146"/>
      <c r="E114" s="147" t="s">
        <v>120</v>
      </c>
      <c r="F114" s="154"/>
      <c r="G114" s="149"/>
      <c r="H114" s="148"/>
      <c r="I114" s="150"/>
      <c r="J114" s="163"/>
      <c r="K114" s="123"/>
      <c r="L114" s="12">
        <f>SUM(K111:K113)</f>
        <v>0</v>
      </c>
    </row>
    <row r="115" spans="1:74" s="16" customFormat="1" ht="18.75" x14ac:dyDescent="0.2">
      <c r="A115" s="136" t="str">
        <f>IF(F115&lt;&gt;"",1+MAX($A$1:A114),"")</f>
        <v/>
      </c>
      <c r="B115" s="137"/>
      <c r="C115" s="137"/>
      <c r="D115" s="138"/>
      <c r="E115" s="139"/>
      <c r="F115" s="140"/>
      <c r="G115" s="96"/>
      <c r="H115" s="141"/>
      <c r="I115" s="142"/>
      <c r="J115" s="155"/>
      <c r="K115" s="97"/>
      <c r="L115" s="144"/>
    </row>
    <row r="116" spans="1:74" x14ac:dyDescent="0.2">
      <c r="A116" s="136" t="str">
        <f>IF(F116&lt;&gt;"",1+MAX($A$1:A115),"")</f>
        <v/>
      </c>
      <c r="B116" s="145"/>
      <c r="C116" s="145"/>
      <c r="D116" s="145"/>
      <c r="E116" s="161" t="s">
        <v>143</v>
      </c>
      <c r="F116" s="154"/>
      <c r="G116" s="149"/>
      <c r="H116" s="148"/>
      <c r="I116" s="150"/>
      <c r="J116" s="21"/>
      <c r="K116" s="162"/>
      <c r="L116" s="160"/>
    </row>
    <row r="117" spans="1:74" s="15" customFormat="1" ht="18.75" x14ac:dyDescent="0.2">
      <c r="A117" s="136">
        <f>IF(F117&lt;&gt;"",1+MAX($A$1:A116),"")</f>
        <v>64</v>
      </c>
      <c r="B117" s="137" t="s">
        <v>135</v>
      </c>
      <c r="C117" s="137"/>
      <c r="D117" s="138"/>
      <c r="E117" s="139" t="s">
        <v>90</v>
      </c>
      <c r="F117" s="140">
        <f>180*2</f>
        <v>360</v>
      </c>
      <c r="G117" s="96">
        <v>7.0000000000000007E-2</v>
      </c>
      <c r="H117" s="141">
        <f t="shared" ref="H117" si="48">F117*(1+G117)</f>
        <v>385.20000000000005</v>
      </c>
      <c r="I117" s="142" t="s">
        <v>15</v>
      </c>
      <c r="J117" s="155">
        <v>0</v>
      </c>
      <c r="K117" s="97">
        <f t="shared" ref="K117" si="49">J117*H117</f>
        <v>0</v>
      </c>
      <c r="L117" s="144"/>
      <c r="M117" s="16"/>
      <c r="N117" s="16"/>
      <c r="O117" s="16"/>
      <c r="P117" s="16"/>
      <c r="Q117" s="16"/>
      <c r="R117" s="16"/>
      <c r="S117" s="16"/>
      <c r="T117" s="16"/>
      <c r="U117" s="16"/>
      <c r="V117" s="16"/>
      <c r="W117" s="16"/>
      <c r="X117" s="16"/>
      <c r="Y117" s="16"/>
      <c r="Z117" s="16"/>
      <c r="AA117" s="16"/>
      <c r="AB117" s="16"/>
      <c r="AC117" s="16"/>
      <c r="AD117" s="16"/>
      <c r="AE117" s="16"/>
      <c r="AF117" s="16"/>
      <c r="AG117" s="16"/>
      <c r="AH117" s="16"/>
      <c r="AI117" s="16"/>
      <c r="AJ117" s="16"/>
      <c r="AK117" s="16"/>
      <c r="AL117" s="16"/>
      <c r="AM117" s="16"/>
      <c r="AN117" s="16"/>
      <c r="AO117" s="16"/>
      <c r="AP117" s="16"/>
      <c r="AQ117" s="16"/>
      <c r="AR117" s="16"/>
      <c r="AS117" s="16"/>
      <c r="AT117" s="16"/>
      <c r="AU117" s="16"/>
      <c r="AV117" s="16"/>
      <c r="AW117" s="16"/>
      <c r="AX117" s="16"/>
      <c r="AY117" s="16"/>
      <c r="AZ117" s="16"/>
      <c r="BA117" s="16"/>
      <c r="BB117" s="16"/>
      <c r="BC117" s="16"/>
      <c r="BD117" s="16"/>
      <c r="BE117" s="16"/>
      <c r="BF117" s="16"/>
      <c r="BG117" s="16"/>
      <c r="BH117" s="16"/>
      <c r="BI117" s="16"/>
      <c r="BJ117" s="16"/>
      <c r="BK117" s="16"/>
      <c r="BL117" s="16"/>
      <c r="BM117" s="16"/>
      <c r="BN117" s="16"/>
      <c r="BO117" s="16"/>
      <c r="BP117" s="16"/>
      <c r="BQ117" s="16"/>
      <c r="BR117" s="16"/>
      <c r="BS117" s="16"/>
      <c r="BT117" s="16"/>
      <c r="BU117" s="16"/>
      <c r="BV117" s="16"/>
    </row>
    <row r="118" spans="1:74" x14ac:dyDescent="0.2">
      <c r="A118" s="136" t="str">
        <f>IF(F118&lt;&gt;"",1+MAX($A$1:A117),"")</f>
        <v/>
      </c>
      <c r="B118" s="145"/>
      <c r="C118" s="145"/>
      <c r="D118" s="146"/>
      <c r="E118" s="159"/>
      <c r="F118" s="148"/>
      <c r="G118" s="149"/>
      <c r="H118" s="148"/>
      <c r="I118" s="150"/>
      <c r="J118" s="163"/>
      <c r="K118" s="152"/>
      <c r="L118" s="153"/>
    </row>
    <row r="119" spans="1:74" x14ac:dyDescent="0.2">
      <c r="A119" s="136" t="str">
        <f>IF(F119&lt;&gt;"",1+MAX($A$1:A118),"")</f>
        <v/>
      </c>
      <c r="B119" s="145"/>
      <c r="C119" s="145"/>
      <c r="D119" s="146"/>
      <c r="E119" s="147" t="s">
        <v>144</v>
      </c>
      <c r="F119" s="154"/>
      <c r="G119" s="149"/>
      <c r="H119" s="148"/>
      <c r="I119" s="150"/>
      <c r="J119" s="163"/>
      <c r="K119" s="123"/>
      <c r="L119" s="12">
        <f>SUM(K116:K118)</f>
        <v>0</v>
      </c>
    </row>
    <row r="120" spans="1:74" s="16" customFormat="1" ht="18.75" x14ac:dyDescent="0.2">
      <c r="A120" s="136" t="str">
        <f>IF(F120&lt;&gt;"",1+MAX($A$1:A119),"")</f>
        <v/>
      </c>
      <c r="B120" s="137"/>
      <c r="C120" s="137"/>
      <c r="D120" s="138"/>
      <c r="E120" s="139"/>
      <c r="F120" s="140"/>
      <c r="G120" s="96"/>
      <c r="H120" s="141"/>
      <c r="I120" s="142"/>
      <c r="J120" s="155"/>
      <c r="K120" s="97"/>
      <c r="L120" s="144"/>
    </row>
    <row r="121" spans="1:74" s="7" customFormat="1" x14ac:dyDescent="0.2">
      <c r="A121" s="136" t="str">
        <f>IF(F121&lt;&gt;"",1+MAX($A$1:A120),"")</f>
        <v/>
      </c>
      <c r="B121" s="156"/>
      <c r="C121" s="157"/>
      <c r="D121" s="157" t="s">
        <v>61</v>
      </c>
      <c r="E121" s="158" t="s">
        <v>62</v>
      </c>
      <c r="F121" s="154"/>
      <c r="G121" s="159"/>
      <c r="H121" s="159"/>
      <c r="I121" s="159"/>
      <c r="J121" s="122"/>
      <c r="K121" s="159"/>
      <c r="L121" s="160"/>
      <c r="M121" s="93"/>
      <c r="N121" s="93"/>
      <c r="O121" s="93"/>
      <c r="P121" s="93"/>
      <c r="Q121" s="93"/>
      <c r="R121" s="93"/>
      <c r="S121" s="93"/>
      <c r="T121" s="93"/>
      <c r="U121" s="93"/>
      <c r="V121" s="93"/>
      <c r="W121" s="93"/>
      <c r="X121" s="93"/>
      <c r="Y121" s="93"/>
      <c r="Z121" s="93"/>
      <c r="AA121" s="93"/>
      <c r="AB121" s="93"/>
      <c r="AC121" s="93"/>
      <c r="AD121" s="93"/>
      <c r="AE121" s="93"/>
      <c r="AF121" s="93"/>
      <c r="AG121" s="93"/>
      <c r="AH121" s="93"/>
      <c r="AI121" s="93"/>
      <c r="AJ121" s="93"/>
      <c r="AK121" s="93"/>
      <c r="AL121" s="93"/>
      <c r="AM121" s="93"/>
      <c r="AN121" s="93"/>
      <c r="AO121" s="93"/>
      <c r="AP121" s="93"/>
      <c r="AQ121" s="93"/>
      <c r="AR121" s="93"/>
      <c r="AS121" s="93"/>
      <c r="AT121" s="93"/>
      <c r="AU121" s="93"/>
      <c r="AV121" s="93"/>
      <c r="AW121" s="93"/>
      <c r="AX121" s="93"/>
      <c r="AY121" s="93"/>
      <c r="AZ121" s="93"/>
      <c r="BA121" s="93"/>
      <c r="BB121" s="93"/>
      <c r="BC121" s="93"/>
      <c r="BD121" s="93"/>
      <c r="BE121" s="93"/>
      <c r="BF121" s="93"/>
      <c r="BG121" s="93"/>
      <c r="BH121" s="93"/>
      <c r="BI121" s="93"/>
      <c r="BJ121" s="93"/>
      <c r="BK121" s="93"/>
      <c r="BL121" s="93"/>
      <c r="BM121" s="93"/>
      <c r="BN121" s="93"/>
      <c r="BO121" s="93"/>
      <c r="BP121" s="93"/>
      <c r="BQ121" s="93"/>
      <c r="BR121" s="93"/>
      <c r="BS121" s="93"/>
      <c r="BT121" s="93"/>
      <c r="BU121" s="93"/>
      <c r="BV121" s="93"/>
    </row>
    <row r="122" spans="1:74" x14ac:dyDescent="0.2">
      <c r="A122" s="136" t="str">
        <f>IF(F122&lt;&gt;"",1+MAX($A$1:A121),"")</f>
        <v/>
      </c>
      <c r="B122" s="145"/>
      <c r="C122" s="145"/>
      <c r="D122" s="145"/>
      <c r="E122" s="161" t="s">
        <v>63</v>
      </c>
      <c r="F122" s="154"/>
      <c r="G122" s="149"/>
      <c r="H122" s="148"/>
      <c r="I122" s="150"/>
      <c r="J122" s="21"/>
      <c r="K122" s="162"/>
      <c r="L122" s="160"/>
    </row>
    <row r="123" spans="1:74" s="18" customFormat="1" x14ac:dyDescent="0.2">
      <c r="A123" s="136" t="str">
        <f>IF(F123&lt;&gt;"",1+MAX($A$1:A122),"")</f>
        <v/>
      </c>
      <c r="B123" s="145"/>
      <c r="C123" s="145"/>
      <c r="D123" s="146"/>
      <c r="E123" s="171" t="s">
        <v>79</v>
      </c>
      <c r="F123" s="154"/>
      <c r="G123" s="149"/>
      <c r="H123" s="148"/>
      <c r="I123" s="150"/>
      <c r="J123" s="125"/>
      <c r="K123" s="172"/>
      <c r="L123" s="173"/>
      <c r="M123" s="22"/>
      <c r="N123" s="22"/>
      <c r="O123" s="22"/>
      <c r="P123" s="22"/>
      <c r="Q123" s="22"/>
      <c r="R123" s="22"/>
      <c r="S123" s="22"/>
      <c r="T123" s="22"/>
      <c r="U123" s="22"/>
      <c r="V123" s="22"/>
      <c r="W123" s="22"/>
      <c r="X123" s="22"/>
      <c r="Y123" s="22"/>
      <c r="Z123" s="22"/>
      <c r="AA123" s="22"/>
      <c r="AB123" s="22"/>
      <c r="AC123" s="22"/>
      <c r="AD123" s="22"/>
      <c r="AE123" s="22"/>
      <c r="AF123" s="22"/>
      <c r="AG123" s="22"/>
      <c r="AH123" s="22"/>
      <c r="AI123" s="22"/>
      <c r="AJ123" s="22"/>
      <c r="AK123" s="22"/>
      <c r="AL123" s="22"/>
      <c r="AM123" s="22"/>
      <c r="AN123" s="22"/>
      <c r="AO123" s="22"/>
      <c r="AP123" s="22"/>
      <c r="AQ123" s="22"/>
      <c r="AR123" s="22"/>
      <c r="AS123" s="22"/>
      <c r="AT123" s="22"/>
      <c r="AU123" s="22"/>
      <c r="AV123" s="22"/>
      <c r="AW123" s="22"/>
      <c r="AX123" s="22"/>
      <c r="AY123" s="22"/>
      <c r="AZ123" s="22"/>
      <c r="BA123" s="22"/>
      <c r="BB123" s="22"/>
      <c r="BC123" s="22"/>
      <c r="BD123" s="22"/>
      <c r="BE123" s="22"/>
      <c r="BF123" s="22"/>
      <c r="BG123" s="22"/>
      <c r="BH123" s="22"/>
      <c r="BI123" s="22"/>
      <c r="BJ123" s="22"/>
      <c r="BK123" s="22"/>
      <c r="BL123" s="22"/>
      <c r="BM123" s="22"/>
      <c r="BN123" s="22"/>
      <c r="BO123" s="22"/>
      <c r="BP123" s="22"/>
      <c r="BQ123" s="22"/>
      <c r="BR123" s="22"/>
      <c r="BS123" s="22"/>
      <c r="BT123" s="22"/>
      <c r="BU123" s="22"/>
      <c r="BV123" s="22"/>
    </row>
    <row r="124" spans="1:74" s="15" customFormat="1" ht="31.5" x14ac:dyDescent="0.2">
      <c r="A124" s="136">
        <f>IF(F124&lt;&gt;"",1+MAX($A$1:A123),"")</f>
        <v>65</v>
      </c>
      <c r="B124" s="137" t="s">
        <v>135</v>
      </c>
      <c r="C124" s="137"/>
      <c r="D124" s="138"/>
      <c r="E124" s="139" t="s">
        <v>140</v>
      </c>
      <c r="F124" s="140">
        <v>2</v>
      </c>
      <c r="G124" s="96">
        <v>0</v>
      </c>
      <c r="H124" s="141">
        <f>F124*(1+G124)</f>
        <v>2</v>
      </c>
      <c r="I124" s="142" t="s">
        <v>20</v>
      </c>
      <c r="J124" s="143">
        <v>0</v>
      </c>
      <c r="K124" s="97">
        <f>J124*H124</f>
        <v>0</v>
      </c>
      <c r="L124" s="144"/>
      <c r="M124" s="16"/>
      <c r="N124" s="94"/>
      <c r="O124" s="16"/>
      <c r="P124" s="16"/>
      <c r="Q124" s="16"/>
      <c r="R124" s="16"/>
      <c r="S124" s="16"/>
      <c r="T124" s="16"/>
      <c r="U124" s="16"/>
      <c r="V124" s="16"/>
      <c r="W124" s="16"/>
      <c r="X124" s="16"/>
      <c r="Y124" s="16"/>
      <c r="Z124" s="16"/>
      <c r="AA124" s="16"/>
      <c r="AB124" s="16"/>
      <c r="AC124" s="16"/>
      <c r="AD124" s="16"/>
      <c r="AE124" s="16"/>
      <c r="AF124" s="16"/>
      <c r="AG124" s="16"/>
      <c r="AH124" s="16"/>
      <c r="AI124" s="16"/>
      <c r="AJ124" s="16"/>
      <c r="AK124" s="16"/>
      <c r="AL124" s="16"/>
      <c r="AM124" s="16"/>
      <c r="AN124" s="16"/>
      <c r="AO124" s="16"/>
      <c r="AP124" s="16"/>
      <c r="AQ124" s="16"/>
      <c r="AR124" s="16"/>
      <c r="AS124" s="16"/>
      <c r="AT124" s="16"/>
      <c r="AU124" s="16"/>
      <c r="AV124" s="16"/>
      <c r="AW124" s="16"/>
      <c r="AX124" s="16"/>
      <c r="AY124" s="16"/>
      <c r="AZ124" s="16"/>
      <c r="BA124" s="16"/>
      <c r="BB124" s="16"/>
      <c r="BC124" s="16"/>
      <c r="BD124" s="16"/>
      <c r="BE124" s="16"/>
      <c r="BF124" s="16"/>
      <c r="BG124" s="16"/>
      <c r="BH124" s="16"/>
      <c r="BI124" s="16"/>
      <c r="BJ124" s="16"/>
      <c r="BK124" s="16"/>
      <c r="BL124" s="16"/>
      <c r="BM124" s="16"/>
      <c r="BN124" s="16"/>
      <c r="BO124" s="16"/>
      <c r="BP124" s="16"/>
      <c r="BQ124" s="16"/>
      <c r="BR124" s="16"/>
      <c r="BS124" s="16"/>
      <c r="BT124" s="16"/>
      <c r="BU124" s="16"/>
      <c r="BV124" s="16"/>
    </row>
    <row r="125" spans="1:74" s="15" customFormat="1" ht="31.5" x14ac:dyDescent="0.2">
      <c r="A125" s="136">
        <f>IF(F125&lt;&gt;"",1+MAX($A$1:A124),"")</f>
        <v>66</v>
      </c>
      <c r="B125" s="137" t="s">
        <v>135</v>
      </c>
      <c r="C125" s="137"/>
      <c r="D125" s="138"/>
      <c r="E125" s="139" t="s">
        <v>139</v>
      </c>
      <c r="F125" s="140">
        <v>3</v>
      </c>
      <c r="G125" s="96">
        <v>0</v>
      </c>
      <c r="H125" s="141">
        <f>F125*(1+G125)</f>
        <v>3</v>
      </c>
      <c r="I125" s="142" t="s">
        <v>20</v>
      </c>
      <c r="J125" s="143">
        <v>0</v>
      </c>
      <c r="K125" s="97">
        <f>J125*H125</f>
        <v>0</v>
      </c>
      <c r="L125" s="144"/>
      <c r="M125" s="16"/>
      <c r="N125" s="94"/>
      <c r="O125" s="16"/>
      <c r="P125" s="16"/>
      <c r="Q125" s="16"/>
      <c r="R125" s="16"/>
      <c r="S125" s="16"/>
      <c r="T125" s="16"/>
      <c r="U125" s="16"/>
      <c r="V125" s="16"/>
      <c r="W125" s="16"/>
      <c r="X125" s="16"/>
      <c r="Y125" s="16"/>
      <c r="Z125" s="16"/>
      <c r="AA125" s="16"/>
      <c r="AB125" s="16"/>
      <c r="AC125" s="16"/>
      <c r="AD125" s="16"/>
      <c r="AE125" s="16"/>
      <c r="AF125" s="16"/>
      <c r="AG125" s="16"/>
      <c r="AH125" s="16"/>
      <c r="AI125" s="16"/>
      <c r="AJ125" s="16"/>
      <c r="AK125" s="16"/>
      <c r="AL125" s="16"/>
      <c r="AM125" s="16"/>
      <c r="AN125" s="16"/>
      <c r="AO125" s="16"/>
      <c r="AP125" s="16"/>
      <c r="AQ125" s="16"/>
      <c r="AR125" s="16"/>
      <c r="AS125" s="16"/>
      <c r="AT125" s="16"/>
      <c r="AU125" s="16"/>
      <c r="AV125" s="16"/>
      <c r="AW125" s="16"/>
      <c r="AX125" s="16"/>
      <c r="AY125" s="16"/>
      <c r="AZ125" s="16"/>
      <c r="BA125" s="16"/>
      <c r="BB125" s="16"/>
      <c r="BC125" s="16"/>
      <c r="BD125" s="16"/>
      <c r="BE125" s="16"/>
      <c r="BF125" s="16"/>
      <c r="BG125" s="16"/>
      <c r="BH125" s="16"/>
      <c r="BI125" s="16"/>
      <c r="BJ125" s="16"/>
      <c r="BK125" s="16"/>
      <c r="BL125" s="16"/>
      <c r="BM125" s="16"/>
      <c r="BN125" s="16"/>
      <c r="BO125" s="16"/>
      <c r="BP125" s="16"/>
      <c r="BQ125" s="16"/>
      <c r="BR125" s="16"/>
      <c r="BS125" s="16"/>
      <c r="BT125" s="16"/>
      <c r="BU125" s="16"/>
      <c r="BV125" s="16"/>
    </row>
    <row r="126" spans="1:74" s="15" customFormat="1" ht="31.5" x14ac:dyDescent="0.2">
      <c r="A126" s="136">
        <f>IF(F126&lt;&gt;"",1+MAX($A$1:A125),"")</f>
        <v>67</v>
      </c>
      <c r="B126" s="137" t="s">
        <v>135</v>
      </c>
      <c r="C126" s="137"/>
      <c r="D126" s="138"/>
      <c r="E126" s="139" t="s">
        <v>141</v>
      </c>
      <c r="F126" s="140">
        <v>2</v>
      </c>
      <c r="G126" s="96">
        <v>0</v>
      </c>
      <c r="H126" s="141">
        <f t="shared" ref="H126:H127" si="50">F126*(1+G126)</f>
        <v>2</v>
      </c>
      <c r="I126" s="142" t="s">
        <v>20</v>
      </c>
      <c r="J126" s="143">
        <v>0</v>
      </c>
      <c r="K126" s="97">
        <f t="shared" ref="K126:K127" si="51">J126*H126</f>
        <v>0</v>
      </c>
      <c r="L126" s="144"/>
      <c r="M126" s="16"/>
      <c r="N126" s="94"/>
      <c r="O126" s="16"/>
      <c r="P126" s="16"/>
      <c r="Q126" s="16"/>
      <c r="R126" s="16"/>
      <c r="S126" s="16"/>
      <c r="T126" s="16"/>
      <c r="U126" s="16"/>
      <c r="V126" s="16"/>
      <c r="W126" s="16"/>
      <c r="X126" s="16"/>
      <c r="Y126" s="16"/>
      <c r="Z126" s="16"/>
      <c r="AA126" s="16"/>
      <c r="AB126" s="16"/>
      <c r="AC126" s="16"/>
      <c r="AD126" s="16"/>
      <c r="AE126" s="16"/>
      <c r="AF126" s="16"/>
      <c r="AG126" s="16"/>
      <c r="AH126" s="16"/>
      <c r="AI126" s="16"/>
      <c r="AJ126" s="16"/>
      <c r="AK126" s="16"/>
      <c r="AL126" s="16"/>
      <c r="AM126" s="16"/>
      <c r="AN126" s="16"/>
      <c r="AO126" s="16"/>
      <c r="AP126" s="16"/>
      <c r="AQ126" s="16"/>
      <c r="AR126" s="16"/>
      <c r="AS126" s="16"/>
      <c r="AT126" s="16"/>
      <c r="AU126" s="16"/>
      <c r="AV126" s="16"/>
      <c r="AW126" s="16"/>
      <c r="AX126" s="16"/>
      <c r="AY126" s="16"/>
      <c r="AZ126" s="16"/>
      <c r="BA126" s="16"/>
      <c r="BB126" s="16"/>
      <c r="BC126" s="16"/>
      <c r="BD126" s="16"/>
      <c r="BE126" s="16"/>
      <c r="BF126" s="16"/>
      <c r="BG126" s="16"/>
      <c r="BH126" s="16"/>
      <c r="BI126" s="16"/>
      <c r="BJ126" s="16"/>
      <c r="BK126" s="16"/>
      <c r="BL126" s="16"/>
      <c r="BM126" s="16"/>
      <c r="BN126" s="16"/>
      <c r="BO126" s="16"/>
      <c r="BP126" s="16"/>
      <c r="BQ126" s="16"/>
      <c r="BR126" s="16"/>
      <c r="BS126" s="16"/>
      <c r="BT126" s="16"/>
      <c r="BU126" s="16"/>
      <c r="BV126" s="16"/>
    </row>
    <row r="127" spans="1:74" s="15" customFormat="1" ht="31.5" x14ac:dyDescent="0.2">
      <c r="A127" s="136">
        <f>IF(F127&lt;&gt;"",1+MAX($A$1:A126),"")</f>
        <v>68</v>
      </c>
      <c r="B127" s="137" t="s">
        <v>135</v>
      </c>
      <c r="C127" s="137"/>
      <c r="D127" s="138"/>
      <c r="E127" s="139" t="s">
        <v>142</v>
      </c>
      <c r="F127" s="140">
        <v>4</v>
      </c>
      <c r="G127" s="96">
        <v>0</v>
      </c>
      <c r="H127" s="141">
        <f t="shared" si="50"/>
        <v>4</v>
      </c>
      <c r="I127" s="142" t="s">
        <v>20</v>
      </c>
      <c r="J127" s="143">
        <v>0</v>
      </c>
      <c r="K127" s="97">
        <f t="shared" si="51"/>
        <v>0</v>
      </c>
      <c r="L127" s="144"/>
      <c r="M127" s="16"/>
      <c r="N127" s="94"/>
      <c r="O127" s="16"/>
      <c r="P127" s="16"/>
      <c r="Q127" s="16"/>
      <c r="R127" s="16"/>
      <c r="S127" s="16"/>
      <c r="T127" s="16"/>
      <c r="U127" s="16"/>
      <c r="V127" s="16"/>
      <c r="W127" s="16"/>
      <c r="X127" s="16"/>
      <c r="Y127" s="16"/>
      <c r="Z127" s="16"/>
      <c r="AA127" s="16"/>
      <c r="AB127" s="16"/>
      <c r="AC127" s="16"/>
      <c r="AD127" s="16"/>
      <c r="AE127" s="16"/>
      <c r="AF127" s="16"/>
      <c r="AG127" s="16"/>
      <c r="AH127" s="16"/>
      <c r="AI127" s="16"/>
      <c r="AJ127" s="16"/>
      <c r="AK127" s="16"/>
      <c r="AL127" s="16"/>
      <c r="AM127" s="16"/>
      <c r="AN127" s="16"/>
      <c r="AO127" s="16"/>
      <c r="AP127" s="16"/>
      <c r="AQ127" s="16"/>
      <c r="AR127" s="16"/>
      <c r="AS127" s="16"/>
      <c r="AT127" s="16"/>
      <c r="AU127" s="16"/>
      <c r="AV127" s="16"/>
      <c r="AW127" s="16"/>
      <c r="AX127" s="16"/>
      <c r="AY127" s="16"/>
      <c r="AZ127" s="16"/>
      <c r="BA127" s="16"/>
      <c r="BB127" s="16"/>
      <c r="BC127" s="16"/>
      <c r="BD127" s="16"/>
      <c r="BE127" s="16"/>
      <c r="BF127" s="16"/>
      <c r="BG127" s="16"/>
      <c r="BH127" s="16"/>
      <c r="BI127" s="16"/>
      <c r="BJ127" s="16"/>
      <c r="BK127" s="16"/>
      <c r="BL127" s="16"/>
      <c r="BM127" s="16"/>
      <c r="BN127" s="16"/>
      <c r="BO127" s="16"/>
      <c r="BP127" s="16"/>
      <c r="BQ127" s="16"/>
      <c r="BR127" s="16"/>
      <c r="BS127" s="16"/>
      <c r="BT127" s="16"/>
      <c r="BU127" s="16"/>
      <c r="BV127" s="16"/>
    </row>
    <row r="128" spans="1:74" x14ac:dyDescent="0.2">
      <c r="A128" s="136" t="str">
        <f>IF(F128&lt;&gt;"",1+MAX($A$1:A127),"")</f>
        <v/>
      </c>
      <c r="B128" s="145"/>
      <c r="C128" s="145"/>
      <c r="D128" s="146"/>
      <c r="E128" s="147"/>
      <c r="F128" s="148"/>
      <c r="G128" s="149"/>
      <c r="H128" s="148"/>
      <c r="I128" s="150"/>
      <c r="J128" s="151"/>
      <c r="K128" s="152"/>
      <c r="L128" s="153"/>
    </row>
    <row r="129" spans="1:74" x14ac:dyDescent="0.2">
      <c r="A129" s="136" t="str">
        <f>IF(F129&lt;&gt;"",1+MAX($A$1:A128),"")</f>
        <v/>
      </c>
      <c r="B129" s="145"/>
      <c r="C129" s="145"/>
      <c r="D129" s="146"/>
      <c r="E129" s="147" t="s">
        <v>60</v>
      </c>
      <c r="F129" s="154"/>
      <c r="G129" s="149"/>
      <c r="H129" s="148"/>
      <c r="I129" s="150"/>
      <c r="J129" s="151"/>
      <c r="K129" s="123"/>
      <c r="L129" s="12">
        <f>SUM(K122:K128)</f>
        <v>0</v>
      </c>
    </row>
    <row r="130" spans="1:74" s="7" customFormat="1" x14ac:dyDescent="0.2">
      <c r="A130" s="136" t="str">
        <f>IF(F130&lt;&gt;"",1+MAX($A$1:A129),"")</f>
        <v/>
      </c>
      <c r="B130" s="145"/>
      <c r="C130" s="145"/>
      <c r="D130" s="145"/>
      <c r="E130" s="174"/>
      <c r="F130" s="154"/>
      <c r="G130" s="149"/>
      <c r="H130" s="148"/>
      <c r="I130" s="150"/>
      <c r="J130" s="126"/>
      <c r="K130" s="152"/>
      <c r="L130" s="160"/>
      <c r="M130" s="93"/>
      <c r="N130" s="93"/>
      <c r="O130" s="93"/>
      <c r="P130" s="93"/>
      <c r="Q130" s="93"/>
      <c r="R130" s="93"/>
      <c r="S130" s="93"/>
      <c r="T130" s="93"/>
      <c r="U130" s="93"/>
      <c r="V130" s="93"/>
      <c r="W130" s="93"/>
      <c r="X130" s="93"/>
      <c r="Y130" s="93"/>
      <c r="Z130" s="93"/>
      <c r="AA130" s="93"/>
      <c r="AB130" s="93"/>
      <c r="AC130" s="93"/>
      <c r="AD130" s="93"/>
      <c r="AE130" s="93"/>
      <c r="AF130" s="93"/>
      <c r="AG130" s="93"/>
      <c r="AH130" s="93"/>
      <c r="AI130" s="93"/>
      <c r="AJ130" s="93"/>
      <c r="AK130" s="93"/>
      <c r="AL130" s="93"/>
      <c r="AM130" s="93"/>
      <c r="AN130" s="93"/>
      <c r="AO130" s="93"/>
      <c r="AP130" s="93"/>
      <c r="AQ130" s="93"/>
      <c r="AR130" s="93"/>
      <c r="AS130" s="93"/>
      <c r="AT130" s="93"/>
      <c r="AU130" s="93"/>
      <c r="AV130" s="93"/>
      <c r="AW130" s="93"/>
      <c r="AX130" s="93"/>
      <c r="AY130" s="93"/>
      <c r="AZ130" s="93"/>
      <c r="BA130" s="93"/>
      <c r="BB130" s="93"/>
      <c r="BC130" s="93"/>
      <c r="BD130" s="93"/>
      <c r="BE130" s="93"/>
      <c r="BF130" s="93"/>
      <c r="BG130" s="93"/>
      <c r="BH130" s="93"/>
      <c r="BI130" s="93"/>
      <c r="BJ130" s="93"/>
      <c r="BK130" s="93"/>
      <c r="BL130" s="93"/>
      <c r="BM130" s="93"/>
      <c r="BN130" s="93"/>
      <c r="BO130" s="93"/>
      <c r="BP130" s="93"/>
      <c r="BQ130" s="93"/>
      <c r="BR130" s="93"/>
      <c r="BS130" s="93"/>
      <c r="BT130" s="93"/>
      <c r="BU130" s="93"/>
      <c r="BV130" s="93"/>
    </row>
    <row r="131" spans="1:74" s="7" customFormat="1" x14ac:dyDescent="0.2">
      <c r="A131" s="136" t="str">
        <f>IF(F131&lt;&gt;"",1+MAX($A$1:A130),"")</f>
        <v/>
      </c>
      <c r="B131" s="156"/>
      <c r="C131" s="157"/>
      <c r="D131" s="157" t="s">
        <v>21</v>
      </c>
      <c r="E131" s="158" t="s">
        <v>22</v>
      </c>
      <c r="F131" s="154"/>
      <c r="G131" s="159"/>
      <c r="H131" s="159"/>
      <c r="I131" s="159"/>
      <c r="J131" s="122"/>
      <c r="K131" s="159"/>
      <c r="L131" s="160"/>
      <c r="M131" s="93"/>
      <c r="N131" s="93"/>
      <c r="O131" s="93"/>
      <c r="P131" s="93"/>
      <c r="Q131" s="93"/>
      <c r="R131" s="93"/>
      <c r="S131" s="93"/>
      <c r="T131" s="93"/>
      <c r="U131" s="93"/>
      <c r="V131" s="93"/>
      <c r="W131" s="93"/>
      <c r="X131" s="93"/>
      <c r="Y131" s="93"/>
      <c r="Z131" s="93"/>
      <c r="AA131" s="93"/>
      <c r="AB131" s="93"/>
      <c r="AC131" s="93"/>
      <c r="AD131" s="93"/>
      <c r="AE131" s="93"/>
      <c r="AF131" s="93"/>
      <c r="AG131" s="93"/>
      <c r="AH131" s="93"/>
      <c r="AI131" s="93"/>
      <c r="AJ131" s="93"/>
      <c r="AK131" s="93"/>
      <c r="AL131" s="93"/>
      <c r="AM131" s="93"/>
      <c r="AN131" s="93"/>
      <c r="AO131" s="93"/>
      <c r="AP131" s="93"/>
      <c r="AQ131" s="93"/>
      <c r="AR131" s="93"/>
      <c r="AS131" s="93"/>
      <c r="AT131" s="93"/>
      <c r="AU131" s="93"/>
      <c r="AV131" s="93"/>
      <c r="AW131" s="93"/>
      <c r="AX131" s="93"/>
      <c r="AY131" s="93"/>
      <c r="AZ131" s="93"/>
      <c r="BA131" s="93"/>
      <c r="BB131" s="93"/>
      <c r="BC131" s="93"/>
      <c r="BD131" s="93"/>
      <c r="BE131" s="93"/>
      <c r="BF131" s="93"/>
      <c r="BG131" s="93"/>
      <c r="BH131" s="93"/>
      <c r="BI131" s="93"/>
      <c r="BJ131" s="93"/>
      <c r="BK131" s="93"/>
      <c r="BL131" s="93"/>
      <c r="BM131" s="93"/>
      <c r="BN131" s="93"/>
      <c r="BO131" s="93"/>
      <c r="BP131" s="93"/>
      <c r="BQ131" s="93"/>
      <c r="BR131" s="93"/>
      <c r="BS131" s="93"/>
      <c r="BT131" s="93"/>
      <c r="BU131" s="93"/>
      <c r="BV131" s="93"/>
    </row>
    <row r="132" spans="1:74" x14ac:dyDescent="0.2">
      <c r="A132" s="136" t="str">
        <f>IF(F132&lt;&gt;"",1+MAX($A$1:A131),"")</f>
        <v/>
      </c>
      <c r="B132" s="145"/>
      <c r="C132" s="145"/>
      <c r="D132" s="145"/>
      <c r="E132" s="161" t="s">
        <v>59</v>
      </c>
      <c r="F132" s="154"/>
      <c r="G132" s="149"/>
      <c r="H132" s="148"/>
      <c r="I132" s="150"/>
      <c r="J132" s="21"/>
      <c r="K132" s="162"/>
      <c r="L132" s="160"/>
    </row>
    <row r="133" spans="1:74" s="18" customFormat="1" x14ac:dyDescent="0.2">
      <c r="A133" s="136" t="str">
        <f>IF(F133&lt;&gt;"",1+MAX($A$1:A132),"")</f>
        <v/>
      </c>
      <c r="B133" s="145"/>
      <c r="C133" s="145"/>
      <c r="D133" s="146"/>
      <c r="E133" s="175" t="s">
        <v>172</v>
      </c>
      <c r="F133" s="154"/>
      <c r="G133" s="149"/>
      <c r="H133" s="148"/>
      <c r="I133" s="150"/>
      <c r="J133" s="125"/>
      <c r="K133" s="172"/>
      <c r="L133" s="173"/>
      <c r="M133" s="22"/>
      <c r="N133" s="22"/>
      <c r="O133" s="22"/>
      <c r="P133" s="22"/>
      <c r="Q133" s="22"/>
      <c r="R133" s="22"/>
      <c r="S133" s="22"/>
      <c r="T133" s="22"/>
      <c r="U133" s="22"/>
      <c r="V133" s="22"/>
      <c r="W133" s="22"/>
      <c r="X133" s="22"/>
      <c r="Y133" s="22"/>
      <c r="Z133" s="22"/>
      <c r="AA133" s="22"/>
      <c r="AB133" s="22"/>
      <c r="AC133" s="22"/>
      <c r="AD133" s="22"/>
      <c r="AE133" s="22"/>
      <c r="AF133" s="22"/>
      <c r="AG133" s="22"/>
      <c r="AH133" s="22"/>
      <c r="AI133" s="22"/>
      <c r="AJ133" s="22"/>
      <c r="AK133" s="22"/>
      <c r="AL133" s="22"/>
      <c r="AM133" s="22"/>
      <c r="AN133" s="22"/>
      <c r="AO133" s="22"/>
      <c r="AP133" s="22"/>
      <c r="AQ133" s="22"/>
      <c r="AR133" s="22"/>
      <c r="AS133" s="22"/>
      <c r="AT133" s="22"/>
      <c r="AU133" s="22"/>
      <c r="AV133" s="22"/>
      <c r="AW133" s="22"/>
      <c r="AX133" s="22"/>
      <c r="AY133" s="22"/>
      <c r="AZ133" s="22"/>
      <c r="BA133" s="22"/>
      <c r="BB133" s="22"/>
      <c r="BC133" s="22"/>
      <c r="BD133" s="22"/>
      <c r="BE133" s="22"/>
      <c r="BF133" s="22"/>
      <c r="BG133" s="22"/>
      <c r="BH133" s="22"/>
      <c r="BI133" s="22"/>
      <c r="BJ133" s="22"/>
      <c r="BK133" s="22"/>
      <c r="BL133" s="22"/>
      <c r="BM133" s="22"/>
      <c r="BN133" s="22"/>
      <c r="BO133" s="22"/>
      <c r="BP133" s="22"/>
      <c r="BQ133" s="22"/>
      <c r="BR133" s="22"/>
      <c r="BS133" s="22"/>
      <c r="BT133" s="22"/>
      <c r="BU133" s="22"/>
      <c r="BV133" s="22"/>
    </row>
    <row r="134" spans="1:74" s="18" customFormat="1" x14ac:dyDescent="0.2">
      <c r="A134" s="136" t="str">
        <f>IF(F134&lt;&gt;"",1+MAX($A$1:A133),"")</f>
        <v/>
      </c>
      <c r="B134" s="145"/>
      <c r="C134" s="145"/>
      <c r="D134" s="146"/>
      <c r="E134" s="171" t="s">
        <v>80</v>
      </c>
      <c r="F134" s="154"/>
      <c r="G134" s="149"/>
      <c r="H134" s="148"/>
      <c r="I134" s="150"/>
      <c r="J134" s="125"/>
      <c r="K134" s="172"/>
      <c r="L134" s="173"/>
      <c r="M134" s="22"/>
      <c r="N134" s="22"/>
      <c r="O134" s="22"/>
      <c r="P134" s="22"/>
      <c r="Q134" s="22"/>
      <c r="R134" s="22"/>
      <c r="S134" s="22"/>
      <c r="T134" s="22"/>
      <c r="U134" s="22"/>
      <c r="V134" s="22"/>
      <c r="W134" s="22"/>
      <c r="X134" s="22"/>
      <c r="Y134" s="22"/>
      <c r="Z134" s="22"/>
      <c r="AA134" s="22"/>
      <c r="AB134" s="22"/>
      <c r="AC134" s="22"/>
      <c r="AD134" s="22"/>
      <c r="AE134" s="22"/>
      <c r="AF134" s="22"/>
      <c r="AG134" s="22"/>
      <c r="AH134" s="22"/>
      <c r="AI134" s="22"/>
      <c r="AJ134" s="22"/>
      <c r="AK134" s="22"/>
      <c r="AL134" s="22"/>
      <c r="AM134" s="22"/>
      <c r="AN134" s="22"/>
      <c r="AO134" s="22"/>
      <c r="AP134" s="22"/>
      <c r="AQ134" s="22"/>
      <c r="AR134" s="22"/>
      <c r="AS134" s="22"/>
      <c r="AT134" s="22"/>
      <c r="AU134" s="22"/>
      <c r="AV134" s="22"/>
      <c r="AW134" s="22"/>
      <c r="AX134" s="22"/>
      <c r="AY134" s="22"/>
      <c r="AZ134" s="22"/>
      <c r="BA134" s="22"/>
      <c r="BB134" s="22"/>
      <c r="BC134" s="22"/>
      <c r="BD134" s="22"/>
      <c r="BE134" s="22"/>
      <c r="BF134" s="22"/>
      <c r="BG134" s="22"/>
      <c r="BH134" s="22"/>
      <c r="BI134" s="22"/>
      <c r="BJ134" s="22"/>
      <c r="BK134" s="22"/>
      <c r="BL134" s="22"/>
      <c r="BM134" s="22"/>
      <c r="BN134" s="22"/>
      <c r="BO134" s="22"/>
      <c r="BP134" s="22"/>
      <c r="BQ134" s="22"/>
      <c r="BR134" s="22"/>
      <c r="BS134" s="22"/>
      <c r="BT134" s="22"/>
      <c r="BU134" s="22"/>
      <c r="BV134" s="22"/>
    </row>
    <row r="135" spans="1:74" s="18" customFormat="1" x14ac:dyDescent="0.2">
      <c r="A135" s="136">
        <f>IF(F135&lt;&gt;"",1+MAX($A$1:A134),"")</f>
        <v>69</v>
      </c>
      <c r="B135" s="145" t="s">
        <v>135</v>
      </c>
      <c r="C135" s="145"/>
      <c r="D135" s="154"/>
      <c r="E135" s="174" t="s">
        <v>173</v>
      </c>
      <c r="F135" s="154">
        <f>145*8*2+26.8*8</f>
        <v>2534.4</v>
      </c>
      <c r="G135" s="96">
        <v>7.0000000000000007E-2</v>
      </c>
      <c r="H135" s="148">
        <f>F135*(1+G135)</f>
        <v>2711.8080000000004</v>
      </c>
      <c r="I135" s="150" t="s">
        <v>18</v>
      </c>
      <c r="J135" s="155">
        <v>0</v>
      </c>
      <c r="K135" s="172">
        <f>J135*H135</f>
        <v>0</v>
      </c>
      <c r="L135" s="173"/>
      <c r="M135" s="22"/>
      <c r="N135" s="22"/>
      <c r="O135" s="22"/>
      <c r="P135" s="22"/>
      <c r="Q135" s="22"/>
      <c r="R135" s="22"/>
      <c r="S135" s="22"/>
      <c r="T135" s="22"/>
      <c r="U135" s="22"/>
      <c r="V135" s="22"/>
      <c r="W135" s="22"/>
      <c r="X135" s="22"/>
      <c r="Y135" s="22"/>
      <c r="Z135" s="22"/>
      <c r="AA135" s="22"/>
      <c r="AB135" s="22"/>
      <c r="AC135" s="22"/>
      <c r="AD135" s="22"/>
      <c r="AE135" s="22"/>
      <c r="AF135" s="22"/>
      <c r="AG135" s="22"/>
      <c r="AH135" s="22"/>
      <c r="AI135" s="22"/>
      <c r="AJ135" s="22"/>
      <c r="AK135" s="22"/>
      <c r="AL135" s="22"/>
      <c r="AM135" s="22"/>
      <c r="AN135" s="22"/>
      <c r="AO135" s="22"/>
      <c r="AP135" s="22"/>
      <c r="AQ135" s="22"/>
      <c r="AR135" s="22"/>
      <c r="AS135" s="22"/>
      <c r="AT135" s="22"/>
      <c r="AU135" s="22"/>
      <c r="AV135" s="22"/>
      <c r="AW135" s="22"/>
      <c r="AX135" s="22"/>
      <c r="AY135" s="22"/>
      <c r="AZ135" s="22"/>
      <c r="BA135" s="22"/>
      <c r="BB135" s="22"/>
      <c r="BC135" s="22"/>
      <c r="BD135" s="22"/>
      <c r="BE135" s="22"/>
      <c r="BF135" s="22"/>
      <c r="BG135" s="22"/>
      <c r="BH135" s="22"/>
      <c r="BI135" s="22"/>
      <c r="BJ135" s="22"/>
      <c r="BK135" s="22"/>
      <c r="BL135" s="22"/>
      <c r="BM135" s="22"/>
      <c r="BN135" s="22"/>
      <c r="BO135" s="22"/>
      <c r="BP135" s="22"/>
      <c r="BQ135" s="22"/>
      <c r="BR135" s="22"/>
      <c r="BS135" s="22"/>
      <c r="BT135" s="22"/>
      <c r="BU135" s="22"/>
      <c r="BV135" s="22"/>
    </row>
    <row r="136" spans="1:74" s="18" customFormat="1" x14ac:dyDescent="0.2">
      <c r="A136" s="136" t="str">
        <f>IF(F136&lt;&gt;"",1+MAX($A$1:A135),"")</f>
        <v/>
      </c>
      <c r="B136" s="145"/>
      <c r="C136" s="145"/>
      <c r="D136" s="146"/>
      <c r="E136" s="176" t="s">
        <v>49</v>
      </c>
      <c r="F136" s="177"/>
      <c r="G136" s="178"/>
      <c r="H136" s="148">
        <f>ROUNDUP((H135)/32,0)</f>
        <v>85</v>
      </c>
      <c r="I136" s="150" t="s">
        <v>50</v>
      </c>
      <c r="J136" s="125"/>
      <c r="K136" s="172"/>
      <c r="L136" s="173"/>
      <c r="M136" s="22"/>
      <c r="N136" s="22"/>
      <c r="O136" s="22"/>
      <c r="P136" s="22"/>
      <c r="Q136" s="22"/>
      <c r="R136" s="22"/>
      <c r="S136" s="22"/>
      <c r="T136" s="22"/>
      <c r="U136" s="22"/>
      <c r="V136" s="22"/>
      <c r="W136" s="22"/>
      <c r="X136" s="22"/>
      <c r="Y136" s="22"/>
      <c r="Z136" s="22"/>
      <c r="AA136" s="22"/>
      <c r="AB136" s="22"/>
      <c r="AC136" s="22"/>
      <c r="AD136" s="22"/>
      <c r="AE136" s="22"/>
      <c r="AF136" s="22"/>
      <c r="AG136" s="22"/>
      <c r="AH136" s="22"/>
      <c r="AI136" s="22"/>
      <c r="AJ136" s="22"/>
      <c r="AK136" s="22"/>
      <c r="AL136" s="22"/>
      <c r="AM136" s="22"/>
      <c r="AN136" s="22"/>
      <c r="AO136" s="22"/>
      <c r="AP136" s="22"/>
      <c r="AQ136" s="22"/>
      <c r="AR136" s="22"/>
      <c r="AS136" s="22"/>
      <c r="AT136" s="22"/>
      <c r="AU136" s="22"/>
      <c r="AV136" s="22"/>
      <c r="AW136" s="22"/>
      <c r="AX136" s="22"/>
      <c r="AY136" s="22"/>
      <c r="AZ136" s="22"/>
      <c r="BA136" s="22"/>
      <c r="BB136" s="22"/>
      <c r="BC136" s="22"/>
      <c r="BD136" s="22"/>
      <c r="BE136" s="22"/>
      <c r="BF136" s="22"/>
      <c r="BG136" s="22"/>
      <c r="BH136" s="22"/>
      <c r="BI136" s="22"/>
      <c r="BJ136" s="22"/>
      <c r="BK136" s="22"/>
      <c r="BL136" s="22"/>
      <c r="BM136" s="22"/>
      <c r="BN136" s="22"/>
      <c r="BO136" s="22"/>
      <c r="BP136" s="22"/>
      <c r="BQ136" s="22"/>
      <c r="BR136" s="22"/>
      <c r="BS136" s="22"/>
      <c r="BT136" s="22"/>
      <c r="BU136" s="22"/>
      <c r="BV136" s="22"/>
    </row>
    <row r="137" spans="1:74" s="18" customFormat="1" x14ac:dyDescent="0.2">
      <c r="A137" s="136" t="str">
        <f>IF(F137&lt;&gt;"",1+MAX($A$1:A136),"")</f>
        <v/>
      </c>
      <c r="B137" s="145"/>
      <c r="C137" s="145"/>
      <c r="D137" s="146"/>
      <c r="E137" s="176" t="s">
        <v>51</v>
      </c>
      <c r="F137" s="177"/>
      <c r="G137" s="178"/>
      <c r="H137" s="148">
        <f>ROUNDUP(H136*24/500,0)</f>
        <v>5</v>
      </c>
      <c r="I137" s="150" t="s">
        <v>52</v>
      </c>
      <c r="J137" s="125"/>
      <c r="K137" s="172"/>
      <c r="L137" s="173"/>
      <c r="M137" s="22"/>
      <c r="N137" s="22"/>
      <c r="O137" s="22"/>
      <c r="P137" s="22"/>
      <c r="Q137" s="22"/>
      <c r="R137" s="22"/>
      <c r="S137" s="22"/>
      <c r="T137" s="22"/>
      <c r="U137" s="22"/>
      <c r="V137" s="22"/>
      <c r="W137" s="22"/>
      <c r="X137" s="22"/>
      <c r="Y137" s="22"/>
      <c r="Z137" s="22"/>
      <c r="AA137" s="22"/>
      <c r="AB137" s="22"/>
      <c r="AC137" s="22"/>
      <c r="AD137" s="22"/>
      <c r="AE137" s="22"/>
      <c r="AF137" s="22"/>
      <c r="AG137" s="22"/>
      <c r="AH137" s="22"/>
      <c r="AI137" s="22"/>
      <c r="AJ137" s="22"/>
      <c r="AK137" s="22"/>
      <c r="AL137" s="22"/>
      <c r="AM137" s="22"/>
      <c r="AN137" s="22"/>
      <c r="AO137" s="22"/>
      <c r="AP137" s="22"/>
      <c r="AQ137" s="22"/>
      <c r="AR137" s="22"/>
      <c r="AS137" s="22"/>
      <c r="AT137" s="22"/>
      <c r="AU137" s="22"/>
      <c r="AV137" s="22"/>
      <c r="AW137" s="22"/>
      <c r="AX137" s="22"/>
      <c r="AY137" s="22"/>
      <c r="AZ137" s="22"/>
      <c r="BA137" s="22"/>
      <c r="BB137" s="22"/>
      <c r="BC137" s="22"/>
      <c r="BD137" s="22"/>
      <c r="BE137" s="22"/>
      <c r="BF137" s="22"/>
      <c r="BG137" s="22"/>
      <c r="BH137" s="22"/>
      <c r="BI137" s="22"/>
      <c r="BJ137" s="22"/>
      <c r="BK137" s="22"/>
      <c r="BL137" s="22"/>
      <c r="BM137" s="22"/>
      <c r="BN137" s="22"/>
      <c r="BO137" s="22"/>
      <c r="BP137" s="22"/>
      <c r="BQ137" s="22"/>
      <c r="BR137" s="22"/>
      <c r="BS137" s="22"/>
      <c r="BT137" s="22"/>
      <c r="BU137" s="22"/>
      <c r="BV137" s="22"/>
    </row>
    <row r="138" spans="1:74" s="18" customFormat="1" x14ac:dyDescent="0.2">
      <c r="A138" s="136" t="str">
        <f>IF(F138&lt;&gt;"",1+MAX($A$1:A137),"")</f>
        <v/>
      </c>
      <c r="B138" s="145"/>
      <c r="C138" s="145"/>
      <c r="D138" s="146"/>
      <c r="E138" s="176" t="s">
        <v>53</v>
      </c>
      <c r="F138" s="177"/>
      <c r="G138" s="178"/>
      <c r="H138" s="179">
        <f>ROUNDUP((H135)/200,0)</f>
        <v>14</v>
      </c>
      <c r="I138" s="150" t="s">
        <v>54</v>
      </c>
      <c r="J138" s="125"/>
      <c r="K138" s="172"/>
      <c r="L138" s="173"/>
      <c r="M138" s="22"/>
      <c r="N138" s="22"/>
      <c r="O138" s="22"/>
      <c r="P138" s="22"/>
      <c r="Q138" s="22"/>
      <c r="R138" s="22"/>
      <c r="S138" s="22"/>
      <c r="T138" s="22"/>
      <c r="U138" s="22"/>
      <c r="V138" s="22"/>
      <c r="W138" s="22"/>
      <c r="X138" s="22"/>
      <c r="Y138" s="22"/>
      <c r="Z138" s="22"/>
      <c r="AA138" s="22"/>
      <c r="AB138" s="22"/>
      <c r="AC138" s="22"/>
      <c r="AD138" s="22"/>
      <c r="AE138" s="22"/>
      <c r="AF138" s="22"/>
      <c r="AG138" s="22"/>
      <c r="AH138" s="22"/>
      <c r="AI138" s="22"/>
      <c r="AJ138" s="22"/>
      <c r="AK138" s="22"/>
      <c r="AL138" s="22"/>
      <c r="AM138" s="22"/>
      <c r="AN138" s="22"/>
      <c r="AO138" s="22"/>
      <c r="AP138" s="22"/>
      <c r="AQ138" s="22"/>
      <c r="AR138" s="22"/>
      <c r="AS138" s="22"/>
      <c r="AT138" s="22"/>
      <c r="AU138" s="22"/>
      <c r="AV138" s="22"/>
      <c r="AW138" s="22"/>
      <c r="AX138" s="22"/>
      <c r="AY138" s="22"/>
      <c r="AZ138" s="22"/>
      <c r="BA138" s="22"/>
      <c r="BB138" s="22"/>
      <c r="BC138" s="22"/>
      <c r="BD138" s="22"/>
      <c r="BE138" s="22"/>
      <c r="BF138" s="22"/>
      <c r="BG138" s="22"/>
      <c r="BH138" s="22"/>
      <c r="BI138" s="22"/>
      <c r="BJ138" s="22"/>
      <c r="BK138" s="22"/>
      <c r="BL138" s="22"/>
      <c r="BM138" s="22"/>
      <c r="BN138" s="22"/>
      <c r="BO138" s="22"/>
      <c r="BP138" s="22"/>
      <c r="BQ138" s="22"/>
      <c r="BR138" s="22"/>
      <c r="BS138" s="22"/>
      <c r="BT138" s="22"/>
      <c r="BU138" s="22"/>
      <c r="BV138" s="22"/>
    </row>
    <row r="139" spans="1:74" s="18" customFormat="1" x14ac:dyDescent="0.2">
      <c r="A139" s="136" t="str">
        <f>IF(F139&lt;&gt;"",1+MAX($A$1:A138),"")</f>
        <v/>
      </c>
      <c r="B139" s="145"/>
      <c r="C139" s="145"/>
      <c r="D139" s="146"/>
      <c r="E139" s="176" t="s">
        <v>55</v>
      </c>
      <c r="F139" s="177"/>
      <c r="G139" s="178"/>
      <c r="H139" s="179">
        <f>ROUNDUP((H135)*5.25/1000,0)</f>
        <v>15</v>
      </c>
      <c r="I139" s="150" t="s">
        <v>56</v>
      </c>
      <c r="J139" s="125"/>
      <c r="K139" s="172"/>
      <c r="L139" s="173"/>
      <c r="M139" s="22"/>
      <c r="N139" s="22"/>
      <c r="O139" s="22"/>
      <c r="P139" s="22"/>
      <c r="Q139" s="22"/>
      <c r="R139" s="22"/>
      <c r="S139" s="22"/>
      <c r="T139" s="22"/>
      <c r="U139" s="22"/>
      <c r="V139" s="22"/>
      <c r="W139" s="22"/>
      <c r="X139" s="22"/>
      <c r="Y139" s="22"/>
      <c r="Z139" s="22"/>
      <c r="AA139" s="22"/>
      <c r="AB139" s="22"/>
      <c r="AC139" s="22"/>
      <c r="AD139" s="22"/>
      <c r="AE139" s="22"/>
      <c r="AF139" s="22"/>
      <c r="AG139" s="22"/>
      <c r="AH139" s="22"/>
      <c r="AI139" s="22"/>
      <c r="AJ139" s="22"/>
      <c r="AK139" s="22"/>
      <c r="AL139" s="22"/>
      <c r="AM139" s="22"/>
      <c r="AN139" s="22"/>
      <c r="AO139" s="22"/>
      <c r="AP139" s="22"/>
      <c r="AQ139" s="22"/>
      <c r="AR139" s="22"/>
      <c r="AS139" s="22"/>
      <c r="AT139" s="22"/>
      <c r="AU139" s="22"/>
      <c r="AV139" s="22"/>
      <c r="AW139" s="22"/>
      <c r="AX139" s="22"/>
      <c r="AY139" s="22"/>
      <c r="AZ139" s="22"/>
      <c r="BA139" s="22"/>
      <c r="BB139" s="22"/>
      <c r="BC139" s="22"/>
      <c r="BD139" s="22"/>
      <c r="BE139" s="22"/>
      <c r="BF139" s="22"/>
      <c r="BG139" s="22"/>
      <c r="BH139" s="22"/>
      <c r="BI139" s="22"/>
      <c r="BJ139" s="22"/>
      <c r="BK139" s="22"/>
      <c r="BL139" s="22"/>
      <c r="BM139" s="22"/>
      <c r="BN139" s="22"/>
      <c r="BO139" s="22"/>
      <c r="BP139" s="22"/>
      <c r="BQ139" s="22"/>
      <c r="BR139" s="22"/>
      <c r="BS139" s="22"/>
      <c r="BT139" s="22"/>
      <c r="BU139" s="22"/>
      <c r="BV139" s="22"/>
    </row>
    <row r="140" spans="1:74" s="18" customFormat="1" x14ac:dyDescent="0.2">
      <c r="A140" s="136">
        <f>IF(F140&lt;&gt;"",1+MAX($A$1:A139),"")</f>
        <v>70</v>
      </c>
      <c r="B140" s="145" t="s">
        <v>135</v>
      </c>
      <c r="C140" s="145"/>
      <c r="D140" s="154"/>
      <c r="E140" s="174" t="s">
        <v>174</v>
      </c>
      <c r="F140" s="154">
        <f>26.8*8</f>
        <v>214.4</v>
      </c>
      <c r="G140" s="96">
        <v>7.0000000000000007E-2</v>
      </c>
      <c r="H140" s="148">
        <f>F140*(1+G140)</f>
        <v>229.40800000000002</v>
      </c>
      <c r="I140" s="150" t="s">
        <v>18</v>
      </c>
      <c r="J140" s="155">
        <v>0</v>
      </c>
      <c r="K140" s="172">
        <f>J140*H140</f>
        <v>0</v>
      </c>
      <c r="L140" s="173"/>
      <c r="M140" s="22"/>
      <c r="N140" s="22"/>
      <c r="O140" s="22"/>
      <c r="P140" s="22"/>
      <c r="Q140" s="22"/>
      <c r="R140" s="22"/>
      <c r="S140" s="22"/>
      <c r="T140" s="22"/>
      <c r="U140" s="22"/>
      <c r="V140" s="22"/>
      <c r="W140" s="22"/>
      <c r="X140" s="22"/>
      <c r="Y140" s="22"/>
      <c r="Z140" s="22"/>
      <c r="AA140" s="22"/>
      <c r="AB140" s="22"/>
      <c r="AC140" s="22"/>
      <c r="AD140" s="22"/>
      <c r="AE140" s="22"/>
      <c r="AF140" s="22"/>
      <c r="AG140" s="22"/>
      <c r="AH140" s="22"/>
      <c r="AI140" s="22"/>
      <c r="AJ140" s="22"/>
      <c r="AK140" s="22"/>
      <c r="AL140" s="22"/>
      <c r="AM140" s="22"/>
      <c r="AN140" s="22"/>
      <c r="AO140" s="22"/>
      <c r="AP140" s="22"/>
      <c r="AQ140" s="22"/>
      <c r="AR140" s="22"/>
      <c r="AS140" s="22"/>
      <c r="AT140" s="22"/>
      <c r="AU140" s="22"/>
      <c r="AV140" s="22"/>
      <c r="AW140" s="22"/>
      <c r="AX140" s="22"/>
      <c r="AY140" s="22"/>
      <c r="AZ140" s="22"/>
      <c r="BA140" s="22"/>
      <c r="BB140" s="22"/>
      <c r="BC140" s="22"/>
      <c r="BD140" s="22"/>
      <c r="BE140" s="22"/>
      <c r="BF140" s="22"/>
      <c r="BG140" s="22"/>
      <c r="BH140" s="22"/>
      <c r="BI140" s="22"/>
      <c r="BJ140" s="22"/>
      <c r="BK140" s="22"/>
      <c r="BL140" s="22"/>
      <c r="BM140" s="22"/>
      <c r="BN140" s="22"/>
      <c r="BO140" s="22"/>
      <c r="BP140" s="22"/>
      <c r="BQ140" s="22"/>
      <c r="BR140" s="22"/>
      <c r="BS140" s="22"/>
      <c r="BT140" s="22"/>
      <c r="BU140" s="22"/>
      <c r="BV140" s="22"/>
    </row>
    <row r="141" spans="1:74" s="18" customFormat="1" x14ac:dyDescent="0.2">
      <c r="A141" s="136" t="str">
        <f>IF(F141&lt;&gt;"",1+MAX($A$1:A140),"")</f>
        <v/>
      </c>
      <c r="B141" s="145"/>
      <c r="C141" s="145"/>
      <c r="D141" s="146"/>
      <c r="E141" s="176" t="s">
        <v>49</v>
      </c>
      <c r="F141" s="177"/>
      <c r="G141" s="178"/>
      <c r="H141" s="148">
        <f>ROUNDUP((H140)/32,0)</f>
        <v>8</v>
      </c>
      <c r="I141" s="150" t="s">
        <v>50</v>
      </c>
      <c r="J141" s="125"/>
      <c r="K141" s="172"/>
      <c r="L141" s="173"/>
      <c r="M141" s="22"/>
      <c r="N141" s="22"/>
      <c r="O141" s="22"/>
      <c r="P141" s="22"/>
      <c r="Q141" s="22"/>
      <c r="R141" s="22"/>
      <c r="S141" s="22"/>
      <c r="T141" s="22"/>
      <c r="U141" s="22"/>
      <c r="V141" s="22"/>
      <c r="W141" s="22"/>
      <c r="X141" s="22"/>
      <c r="Y141" s="22"/>
      <c r="Z141" s="22"/>
      <c r="AA141" s="22"/>
      <c r="AB141" s="22"/>
      <c r="AC141" s="22"/>
      <c r="AD141" s="22"/>
      <c r="AE141" s="22"/>
      <c r="AF141" s="22"/>
      <c r="AG141" s="22"/>
      <c r="AH141" s="22"/>
      <c r="AI141" s="22"/>
      <c r="AJ141" s="22"/>
      <c r="AK141" s="22"/>
      <c r="AL141" s="22"/>
      <c r="AM141" s="22"/>
      <c r="AN141" s="22"/>
      <c r="AO141" s="22"/>
      <c r="AP141" s="22"/>
      <c r="AQ141" s="22"/>
      <c r="AR141" s="22"/>
      <c r="AS141" s="22"/>
      <c r="AT141" s="22"/>
      <c r="AU141" s="22"/>
      <c r="AV141" s="22"/>
      <c r="AW141" s="22"/>
      <c r="AX141" s="22"/>
      <c r="AY141" s="22"/>
      <c r="AZ141" s="22"/>
      <c r="BA141" s="22"/>
      <c r="BB141" s="22"/>
      <c r="BC141" s="22"/>
      <c r="BD141" s="22"/>
      <c r="BE141" s="22"/>
      <c r="BF141" s="22"/>
      <c r="BG141" s="22"/>
      <c r="BH141" s="22"/>
      <c r="BI141" s="22"/>
      <c r="BJ141" s="22"/>
      <c r="BK141" s="22"/>
      <c r="BL141" s="22"/>
      <c r="BM141" s="22"/>
      <c r="BN141" s="22"/>
      <c r="BO141" s="22"/>
      <c r="BP141" s="22"/>
      <c r="BQ141" s="22"/>
      <c r="BR141" s="22"/>
      <c r="BS141" s="22"/>
      <c r="BT141" s="22"/>
      <c r="BU141" s="22"/>
      <c r="BV141" s="22"/>
    </row>
    <row r="142" spans="1:74" s="18" customFormat="1" x14ac:dyDescent="0.2">
      <c r="A142" s="136" t="str">
        <f>IF(F142&lt;&gt;"",1+MAX($A$1:A141),"")</f>
        <v/>
      </c>
      <c r="B142" s="145"/>
      <c r="C142" s="145"/>
      <c r="D142" s="146"/>
      <c r="E142" s="176" t="s">
        <v>51</v>
      </c>
      <c r="F142" s="177"/>
      <c r="G142" s="178"/>
      <c r="H142" s="148">
        <f>ROUNDUP(H141*24/500,0)</f>
        <v>1</v>
      </c>
      <c r="I142" s="150" t="s">
        <v>52</v>
      </c>
      <c r="J142" s="125"/>
      <c r="K142" s="172"/>
      <c r="L142" s="173"/>
      <c r="M142" s="22"/>
      <c r="N142" s="22"/>
      <c r="O142" s="22"/>
      <c r="P142" s="22"/>
      <c r="Q142" s="22"/>
      <c r="R142" s="22"/>
      <c r="S142" s="22"/>
      <c r="T142" s="22"/>
      <c r="U142" s="22"/>
      <c r="V142" s="22"/>
      <c r="W142" s="22"/>
      <c r="X142" s="22"/>
      <c r="Y142" s="22"/>
      <c r="Z142" s="22"/>
      <c r="AA142" s="22"/>
      <c r="AB142" s="22"/>
      <c r="AC142" s="22"/>
      <c r="AD142" s="22"/>
      <c r="AE142" s="22"/>
      <c r="AF142" s="22"/>
      <c r="AG142" s="22"/>
      <c r="AH142" s="22"/>
      <c r="AI142" s="22"/>
      <c r="AJ142" s="22"/>
      <c r="AK142" s="22"/>
      <c r="AL142" s="22"/>
      <c r="AM142" s="22"/>
      <c r="AN142" s="22"/>
      <c r="AO142" s="22"/>
      <c r="AP142" s="22"/>
      <c r="AQ142" s="22"/>
      <c r="AR142" s="22"/>
      <c r="AS142" s="22"/>
      <c r="AT142" s="22"/>
      <c r="AU142" s="22"/>
      <c r="AV142" s="22"/>
      <c r="AW142" s="22"/>
      <c r="AX142" s="22"/>
      <c r="AY142" s="22"/>
      <c r="AZ142" s="22"/>
      <c r="BA142" s="22"/>
      <c r="BB142" s="22"/>
      <c r="BC142" s="22"/>
      <c r="BD142" s="22"/>
      <c r="BE142" s="22"/>
      <c r="BF142" s="22"/>
      <c r="BG142" s="22"/>
      <c r="BH142" s="22"/>
      <c r="BI142" s="22"/>
      <c r="BJ142" s="22"/>
      <c r="BK142" s="22"/>
      <c r="BL142" s="22"/>
      <c r="BM142" s="22"/>
      <c r="BN142" s="22"/>
      <c r="BO142" s="22"/>
      <c r="BP142" s="22"/>
      <c r="BQ142" s="22"/>
      <c r="BR142" s="22"/>
      <c r="BS142" s="22"/>
      <c r="BT142" s="22"/>
      <c r="BU142" s="22"/>
      <c r="BV142" s="22"/>
    </row>
    <row r="143" spans="1:74" s="18" customFormat="1" x14ac:dyDescent="0.2">
      <c r="A143" s="136" t="str">
        <f>IF(F143&lt;&gt;"",1+MAX($A$1:A142),"")</f>
        <v/>
      </c>
      <c r="B143" s="145"/>
      <c r="C143" s="145"/>
      <c r="D143" s="146"/>
      <c r="E143" s="176" t="s">
        <v>53</v>
      </c>
      <c r="F143" s="177"/>
      <c r="G143" s="178"/>
      <c r="H143" s="179">
        <f>ROUNDUP((H140)/200,0)</f>
        <v>2</v>
      </c>
      <c r="I143" s="150" t="s">
        <v>54</v>
      </c>
      <c r="J143" s="125"/>
      <c r="K143" s="172"/>
      <c r="L143" s="173"/>
      <c r="M143" s="22"/>
      <c r="N143" s="22"/>
      <c r="O143" s="22"/>
      <c r="P143" s="22"/>
      <c r="Q143" s="22"/>
      <c r="R143" s="22"/>
      <c r="S143" s="22"/>
      <c r="T143" s="22"/>
      <c r="U143" s="22"/>
      <c r="V143" s="22"/>
      <c r="W143" s="22"/>
      <c r="X143" s="22"/>
      <c r="Y143" s="22"/>
      <c r="Z143" s="22"/>
      <c r="AA143" s="22"/>
      <c r="AB143" s="22"/>
      <c r="AC143" s="22"/>
      <c r="AD143" s="22"/>
      <c r="AE143" s="22"/>
      <c r="AF143" s="22"/>
      <c r="AG143" s="22"/>
      <c r="AH143" s="22"/>
      <c r="AI143" s="22"/>
      <c r="AJ143" s="22"/>
      <c r="AK143" s="22"/>
      <c r="AL143" s="22"/>
      <c r="AM143" s="22"/>
      <c r="AN143" s="22"/>
      <c r="AO143" s="22"/>
      <c r="AP143" s="22"/>
      <c r="AQ143" s="22"/>
      <c r="AR143" s="22"/>
      <c r="AS143" s="22"/>
      <c r="AT143" s="22"/>
      <c r="AU143" s="22"/>
      <c r="AV143" s="22"/>
      <c r="AW143" s="22"/>
      <c r="AX143" s="22"/>
      <c r="AY143" s="22"/>
      <c r="AZ143" s="22"/>
      <c r="BA143" s="22"/>
      <c r="BB143" s="22"/>
      <c r="BC143" s="22"/>
      <c r="BD143" s="22"/>
      <c r="BE143" s="22"/>
      <c r="BF143" s="22"/>
      <c r="BG143" s="22"/>
      <c r="BH143" s="22"/>
      <c r="BI143" s="22"/>
      <c r="BJ143" s="22"/>
      <c r="BK143" s="22"/>
      <c r="BL143" s="22"/>
      <c r="BM143" s="22"/>
      <c r="BN143" s="22"/>
      <c r="BO143" s="22"/>
      <c r="BP143" s="22"/>
      <c r="BQ143" s="22"/>
      <c r="BR143" s="22"/>
      <c r="BS143" s="22"/>
      <c r="BT143" s="22"/>
      <c r="BU143" s="22"/>
      <c r="BV143" s="22"/>
    </row>
    <row r="144" spans="1:74" s="18" customFormat="1" x14ac:dyDescent="0.2">
      <c r="A144" s="136" t="str">
        <f>IF(F144&lt;&gt;"",1+MAX($A$1:A143),"")</f>
        <v/>
      </c>
      <c r="B144" s="145"/>
      <c r="C144" s="145"/>
      <c r="D144" s="146"/>
      <c r="E144" s="176" t="s">
        <v>55</v>
      </c>
      <c r="F144" s="177"/>
      <c r="G144" s="178"/>
      <c r="H144" s="179">
        <f>ROUNDUP((H140)*5.25/1000,0)</f>
        <v>2</v>
      </c>
      <c r="I144" s="150" t="s">
        <v>56</v>
      </c>
      <c r="J144" s="125"/>
      <c r="K144" s="172"/>
      <c r="L144" s="173"/>
      <c r="M144" s="22"/>
      <c r="N144" s="22"/>
      <c r="O144" s="22"/>
      <c r="P144" s="22"/>
      <c r="Q144" s="22"/>
      <c r="R144" s="22"/>
      <c r="S144" s="22"/>
      <c r="T144" s="22"/>
      <c r="U144" s="22"/>
      <c r="V144" s="22"/>
      <c r="W144" s="22"/>
      <c r="X144" s="22"/>
      <c r="Y144" s="22"/>
      <c r="Z144" s="22"/>
      <c r="AA144" s="22"/>
      <c r="AB144" s="22"/>
      <c r="AC144" s="22"/>
      <c r="AD144" s="22"/>
      <c r="AE144" s="22"/>
      <c r="AF144" s="22"/>
      <c r="AG144" s="22"/>
      <c r="AH144" s="22"/>
      <c r="AI144" s="22"/>
      <c r="AJ144" s="22"/>
      <c r="AK144" s="22"/>
      <c r="AL144" s="22"/>
      <c r="AM144" s="22"/>
      <c r="AN144" s="22"/>
      <c r="AO144" s="22"/>
      <c r="AP144" s="22"/>
      <c r="AQ144" s="22"/>
      <c r="AR144" s="22"/>
      <c r="AS144" s="22"/>
      <c r="AT144" s="22"/>
      <c r="AU144" s="22"/>
      <c r="AV144" s="22"/>
      <c r="AW144" s="22"/>
      <c r="AX144" s="22"/>
      <c r="AY144" s="22"/>
      <c r="AZ144" s="22"/>
      <c r="BA144" s="22"/>
      <c r="BB144" s="22"/>
      <c r="BC144" s="22"/>
      <c r="BD144" s="22"/>
      <c r="BE144" s="22"/>
      <c r="BF144" s="22"/>
      <c r="BG144" s="22"/>
      <c r="BH144" s="22"/>
      <c r="BI144" s="22"/>
      <c r="BJ144" s="22"/>
      <c r="BK144" s="22"/>
      <c r="BL144" s="22"/>
      <c r="BM144" s="22"/>
      <c r="BN144" s="22"/>
      <c r="BO144" s="22"/>
      <c r="BP144" s="22"/>
      <c r="BQ144" s="22"/>
      <c r="BR144" s="22"/>
      <c r="BS144" s="22"/>
      <c r="BT144" s="22"/>
      <c r="BU144" s="22"/>
      <c r="BV144" s="22"/>
    </row>
    <row r="145" spans="1:74" s="18" customFormat="1" x14ac:dyDescent="0.2">
      <c r="A145" s="136">
        <f>IF(F145&lt;&gt;"",1+MAX($A$1:A144),"")</f>
        <v>71</v>
      </c>
      <c r="B145" s="145" t="s">
        <v>135</v>
      </c>
      <c r="C145" s="145"/>
      <c r="D145" s="146"/>
      <c r="E145" s="174" t="s">
        <v>57</v>
      </c>
      <c r="F145" s="154">
        <f>171.8*4</f>
        <v>687.2</v>
      </c>
      <c r="G145" s="96">
        <v>7.0000000000000007E-2</v>
      </c>
      <c r="H145" s="148">
        <f>F145*(1+G145)</f>
        <v>735.30400000000009</v>
      </c>
      <c r="I145" s="150" t="s">
        <v>15</v>
      </c>
      <c r="J145" s="155">
        <v>0</v>
      </c>
      <c r="K145" s="172">
        <f>J145*H145</f>
        <v>0</v>
      </c>
      <c r="L145" s="173"/>
      <c r="M145" s="22"/>
      <c r="N145" s="22"/>
      <c r="O145" s="22"/>
      <c r="P145" s="22"/>
      <c r="Q145" s="22"/>
      <c r="R145" s="22"/>
      <c r="S145" s="22"/>
      <c r="T145" s="22"/>
      <c r="U145" s="22"/>
      <c r="V145" s="22"/>
      <c r="W145" s="22"/>
      <c r="X145" s="22"/>
      <c r="Y145" s="22"/>
      <c r="Z145" s="22"/>
      <c r="AA145" s="22"/>
      <c r="AB145" s="22"/>
      <c r="AC145" s="22"/>
      <c r="AD145" s="22"/>
      <c r="AE145" s="22"/>
      <c r="AF145" s="22"/>
      <c r="AG145" s="22"/>
      <c r="AH145" s="22"/>
      <c r="AI145" s="22"/>
      <c r="AJ145" s="22"/>
      <c r="AK145" s="22"/>
      <c r="AL145" s="22"/>
      <c r="AM145" s="22"/>
      <c r="AN145" s="22"/>
      <c r="AO145" s="22"/>
      <c r="AP145" s="22"/>
      <c r="AQ145" s="22"/>
      <c r="AR145" s="22"/>
      <c r="AS145" s="22"/>
      <c r="AT145" s="22"/>
      <c r="AU145" s="22"/>
      <c r="AV145" s="22"/>
      <c r="AW145" s="22"/>
      <c r="AX145" s="22"/>
      <c r="AY145" s="22"/>
      <c r="AZ145" s="22"/>
      <c r="BA145" s="22"/>
      <c r="BB145" s="22"/>
      <c r="BC145" s="22"/>
      <c r="BD145" s="22"/>
      <c r="BE145" s="22"/>
      <c r="BF145" s="22"/>
      <c r="BG145" s="22"/>
      <c r="BH145" s="22"/>
      <c r="BI145" s="22"/>
      <c r="BJ145" s="22"/>
      <c r="BK145" s="22"/>
      <c r="BL145" s="22"/>
      <c r="BM145" s="22"/>
      <c r="BN145" s="22"/>
      <c r="BO145" s="22"/>
      <c r="BP145" s="22"/>
      <c r="BQ145" s="22"/>
      <c r="BR145" s="22"/>
      <c r="BS145" s="22"/>
      <c r="BT145" s="22"/>
      <c r="BU145" s="22"/>
      <c r="BV145" s="22"/>
    </row>
    <row r="146" spans="1:74" s="22" customFormat="1" x14ac:dyDescent="0.2">
      <c r="A146" s="136" t="str">
        <f>IF(F146&lt;&gt;"",1+MAX($A$1:A145),"")</f>
        <v/>
      </c>
      <c r="B146" s="145"/>
      <c r="C146" s="145"/>
      <c r="D146" s="146"/>
      <c r="E146" s="174"/>
      <c r="F146" s="154"/>
      <c r="G146" s="96"/>
      <c r="H146" s="148"/>
      <c r="I146" s="150"/>
      <c r="J146" s="125"/>
      <c r="K146" s="172"/>
      <c r="L146" s="173"/>
    </row>
    <row r="147" spans="1:74" s="18" customFormat="1" x14ac:dyDescent="0.2">
      <c r="A147" s="136" t="str">
        <f>IF(F147&lt;&gt;"",1+MAX($A$1:A146),"")</f>
        <v/>
      </c>
      <c r="B147" s="145"/>
      <c r="C147" s="145"/>
      <c r="D147" s="146"/>
      <c r="E147" s="175" t="s">
        <v>64</v>
      </c>
      <c r="F147" s="154"/>
      <c r="G147" s="149"/>
      <c r="H147" s="148"/>
      <c r="I147" s="150"/>
      <c r="J147" s="125"/>
      <c r="K147" s="172"/>
      <c r="L147" s="173"/>
      <c r="M147" s="22"/>
      <c r="N147" s="22"/>
      <c r="O147" s="22"/>
      <c r="P147" s="22"/>
      <c r="Q147" s="22"/>
      <c r="R147" s="22"/>
      <c r="S147" s="22"/>
      <c r="T147" s="22"/>
      <c r="U147" s="22"/>
      <c r="V147" s="22"/>
      <c r="W147" s="22"/>
      <c r="X147" s="22"/>
      <c r="Y147" s="22"/>
      <c r="Z147" s="22"/>
      <c r="AA147" s="22"/>
      <c r="AB147" s="22"/>
      <c r="AC147" s="22"/>
      <c r="AD147" s="22"/>
      <c r="AE147" s="22"/>
      <c r="AF147" s="22"/>
      <c r="AG147" s="22"/>
      <c r="AH147" s="22"/>
      <c r="AI147" s="22"/>
      <c r="AJ147" s="22"/>
      <c r="AK147" s="22"/>
      <c r="AL147" s="22"/>
      <c r="AM147" s="22"/>
      <c r="AN147" s="22"/>
      <c r="AO147" s="22"/>
      <c r="AP147" s="22"/>
      <c r="AQ147" s="22"/>
      <c r="AR147" s="22"/>
      <c r="AS147" s="22"/>
      <c r="AT147" s="22"/>
      <c r="AU147" s="22"/>
      <c r="AV147" s="22"/>
      <c r="AW147" s="22"/>
      <c r="AX147" s="22"/>
      <c r="AY147" s="22"/>
      <c r="AZ147" s="22"/>
      <c r="BA147" s="22"/>
      <c r="BB147" s="22"/>
      <c r="BC147" s="22"/>
      <c r="BD147" s="22"/>
      <c r="BE147" s="22"/>
      <c r="BF147" s="22"/>
      <c r="BG147" s="22"/>
      <c r="BH147" s="22"/>
      <c r="BI147" s="22"/>
      <c r="BJ147" s="22"/>
      <c r="BK147" s="22"/>
      <c r="BL147" s="22"/>
      <c r="BM147" s="22"/>
      <c r="BN147" s="22"/>
      <c r="BO147" s="22"/>
      <c r="BP147" s="22"/>
      <c r="BQ147" s="22"/>
      <c r="BR147" s="22"/>
      <c r="BS147" s="22"/>
      <c r="BT147" s="22"/>
      <c r="BU147" s="22"/>
      <c r="BV147" s="22"/>
    </row>
    <row r="148" spans="1:74" s="18" customFormat="1" x14ac:dyDescent="0.2">
      <c r="A148" s="136" t="str">
        <f>IF(F148&lt;&gt;"",1+MAX($A$1:A147),"")</f>
        <v/>
      </c>
      <c r="B148" s="145"/>
      <c r="C148" s="145"/>
      <c r="D148" s="146"/>
      <c r="E148" s="171" t="s">
        <v>80</v>
      </c>
      <c r="F148" s="154"/>
      <c r="G148" s="149"/>
      <c r="H148" s="148"/>
      <c r="I148" s="150"/>
      <c r="J148" s="125"/>
      <c r="K148" s="172"/>
      <c r="L148" s="173"/>
      <c r="M148" s="22"/>
      <c r="N148" s="22"/>
      <c r="O148" s="22"/>
      <c r="P148" s="22"/>
      <c r="Q148" s="22"/>
      <c r="R148" s="22"/>
      <c r="S148" s="22"/>
      <c r="T148" s="22"/>
      <c r="U148" s="22"/>
      <c r="V148" s="22"/>
      <c r="W148" s="22"/>
      <c r="X148" s="22"/>
      <c r="Y148" s="22"/>
      <c r="Z148" s="22"/>
      <c r="AA148" s="22"/>
      <c r="AB148" s="22"/>
      <c r="AC148" s="22"/>
      <c r="AD148" s="22"/>
      <c r="AE148" s="22"/>
      <c r="AF148" s="22"/>
      <c r="AG148" s="22"/>
      <c r="AH148" s="22"/>
      <c r="AI148" s="22"/>
      <c r="AJ148" s="22"/>
      <c r="AK148" s="22"/>
      <c r="AL148" s="22"/>
      <c r="AM148" s="22"/>
      <c r="AN148" s="22"/>
      <c r="AO148" s="22"/>
      <c r="AP148" s="22"/>
      <c r="AQ148" s="22"/>
      <c r="AR148" s="22"/>
      <c r="AS148" s="22"/>
      <c r="AT148" s="22"/>
      <c r="AU148" s="22"/>
      <c r="AV148" s="22"/>
      <c r="AW148" s="22"/>
      <c r="AX148" s="22"/>
      <c r="AY148" s="22"/>
      <c r="AZ148" s="22"/>
      <c r="BA148" s="22"/>
      <c r="BB148" s="22"/>
      <c r="BC148" s="22"/>
      <c r="BD148" s="22"/>
      <c r="BE148" s="22"/>
      <c r="BF148" s="22"/>
      <c r="BG148" s="22"/>
      <c r="BH148" s="22"/>
      <c r="BI148" s="22"/>
      <c r="BJ148" s="22"/>
      <c r="BK148" s="22"/>
      <c r="BL148" s="22"/>
      <c r="BM148" s="22"/>
      <c r="BN148" s="22"/>
      <c r="BO148" s="22"/>
      <c r="BP148" s="22"/>
      <c r="BQ148" s="22"/>
      <c r="BR148" s="22"/>
      <c r="BS148" s="22"/>
      <c r="BT148" s="22"/>
      <c r="BU148" s="22"/>
      <c r="BV148" s="22"/>
    </row>
    <row r="149" spans="1:74" s="18" customFormat="1" x14ac:dyDescent="0.2">
      <c r="A149" s="136">
        <f>IF(F149&lt;&gt;"",1+MAX($A$1:A148),"")</f>
        <v>72</v>
      </c>
      <c r="B149" s="145" t="s">
        <v>135</v>
      </c>
      <c r="C149" s="145"/>
      <c r="D149" s="154"/>
      <c r="E149" s="174" t="s">
        <v>173</v>
      </c>
      <c r="F149" s="154">
        <f>22.3*8.167*2</f>
        <v>364.2482</v>
      </c>
      <c r="G149" s="96">
        <v>7.0000000000000007E-2</v>
      </c>
      <c r="H149" s="148">
        <f>F149*(1+G149)</f>
        <v>389.74557400000003</v>
      </c>
      <c r="I149" s="150" t="s">
        <v>18</v>
      </c>
      <c r="J149" s="125">
        <f>J$135</f>
        <v>0</v>
      </c>
      <c r="K149" s="172">
        <f>J149*H149</f>
        <v>0</v>
      </c>
      <c r="L149" s="173"/>
      <c r="M149" s="22"/>
      <c r="N149" s="22"/>
      <c r="O149" s="22"/>
      <c r="P149" s="22"/>
      <c r="Q149" s="22"/>
      <c r="R149" s="22"/>
      <c r="S149" s="22"/>
      <c r="T149" s="22"/>
      <c r="U149" s="22"/>
      <c r="V149" s="22"/>
      <c r="W149" s="22"/>
      <c r="X149" s="22"/>
      <c r="Y149" s="22"/>
      <c r="Z149" s="22"/>
      <c r="AA149" s="22"/>
      <c r="AB149" s="22"/>
      <c r="AC149" s="22"/>
      <c r="AD149" s="22"/>
      <c r="AE149" s="22"/>
      <c r="AF149" s="22"/>
      <c r="AG149" s="22"/>
      <c r="AH149" s="22"/>
      <c r="AI149" s="22"/>
      <c r="AJ149" s="22"/>
      <c r="AK149" s="22"/>
      <c r="AL149" s="22"/>
      <c r="AM149" s="22"/>
      <c r="AN149" s="22"/>
      <c r="AO149" s="22"/>
      <c r="AP149" s="22"/>
      <c r="AQ149" s="22"/>
      <c r="AR149" s="22"/>
      <c r="AS149" s="22"/>
      <c r="AT149" s="22"/>
      <c r="AU149" s="22"/>
      <c r="AV149" s="22"/>
      <c r="AW149" s="22"/>
      <c r="AX149" s="22"/>
      <c r="AY149" s="22"/>
      <c r="AZ149" s="22"/>
      <c r="BA149" s="22"/>
      <c r="BB149" s="22"/>
      <c r="BC149" s="22"/>
      <c r="BD149" s="22"/>
      <c r="BE149" s="22"/>
      <c r="BF149" s="22"/>
      <c r="BG149" s="22"/>
      <c r="BH149" s="22"/>
      <c r="BI149" s="22"/>
      <c r="BJ149" s="22"/>
      <c r="BK149" s="22"/>
      <c r="BL149" s="22"/>
      <c r="BM149" s="22"/>
      <c r="BN149" s="22"/>
      <c r="BO149" s="22"/>
      <c r="BP149" s="22"/>
      <c r="BQ149" s="22"/>
      <c r="BR149" s="22"/>
      <c r="BS149" s="22"/>
      <c r="BT149" s="22"/>
      <c r="BU149" s="22"/>
      <c r="BV149" s="22"/>
    </row>
    <row r="150" spans="1:74" s="18" customFormat="1" x14ac:dyDescent="0.2">
      <c r="A150" s="136" t="str">
        <f>IF(F150&lt;&gt;"",1+MAX($A$1:A149),"")</f>
        <v/>
      </c>
      <c r="B150" s="145"/>
      <c r="C150" s="145"/>
      <c r="D150" s="146"/>
      <c r="E150" s="176" t="s">
        <v>49</v>
      </c>
      <c r="F150" s="177"/>
      <c r="G150" s="178"/>
      <c r="H150" s="148">
        <f>ROUNDUP((H149)/32,0)</f>
        <v>13</v>
      </c>
      <c r="I150" s="150" t="s">
        <v>50</v>
      </c>
      <c r="J150" s="125"/>
      <c r="K150" s="172"/>
      <c r="L150" s="173"/>
      <c r="M150" s="22"/>
      <c r="N150" s="22"/>
      <c r="O150" s="22"/>
      <c r="P150" s="22"/>
      <c r="Q150" s="22"/>
      <c r="R150" s="22"/>
      <c r="S150" s="22"/>
      <c r="T150" s="22"/>
      <c r="U150" s="22"/>
      <c r="V150" s="22"/>
      <c r="W150" s="22"/>
      <c r="X150" s="22"/>
      <c r="Y150" s="22"/>
      <c r="Z150" s="22"/>
      <c r="AA150" s="22"/>
      <c r="AB150" s="22"/>
      <c r="AC150" s="22"/>
      <c r="AD150" s="22"/>
      <c r="AE150" s="22"/>
      <c r="AF150" s="22"/>
      <c r="AG150" s="22"/>
      <c r="AH150" s="22"/>
      <c r="AI150" s="22"/>
      <c r="AJ150" s="22"/>
      <c r="AK150" s="22"/>
      <c r="AL150" s="22"/>
      <c r="AM150" s="22"/>
      <c r="AN150" s="22"/>
      <c r="AO150" s="22"/>
      <c r="AP150" s="22"/>
      <c r="AQ150" s="22"/>
      <c r="AR150" s="22"/>
      <c r="AS150" s="22"/>
      <c r="AT150" s="22"/>
      <c r="AU150" s="22"/>
      <c r="AV150" s="22"/>
      <c r="AW150" s="22"/>
      <c r="AX150" s="22"/>
      <c r="AY150" s="22"/>
      <c r="AZ150" s="22"/>
      <c r="BA150" s="22"/>
      <c r="BB150" s="22"/>
      <c r="BC150" s="22"/>
      <c r="BD150" s="22"/>
      <c r="BE150" s="22"/>
      <c r="BF150" s="22"/>
      <c r="BG150" s="22"/>
      <c r="BH150" s="22"/>
      <c r="BI150" s="22"/>
      <c r="BJ150" s="22"/>
      <c r="BK150" s="22"/>
      <c r="BL150" s="22"/>
      <c r="BM150" s="22"/>
      <c r="BN150" s="22"/>
      <c r="BO150" s="22"/>
      <c r="BP150" s="22"/>
      <c r="BQ150" s="22"/>
      <c r="BR150" s="22"/>
      <c r="BS150" s="22"/>
      <c r="BT150" s="22"/>
      <c r="BU150" s="22"/>
      <c r="BV150" s="22"/>
    </row>
    <row r="151" spans="1:74" s="18" customFormat="1" x14ac:dyDescent="0.2">
      <c r="A151" s="136" t="str">
        <f>IF(F151&lt;&gt;"",1+MAX($A$1:A150),"")</f>
        <v/>
      </c>
      <c r="B151" s="145"/>
      <c r="C151" s="145"/>
      <c r="D151" s="146"/>
      <c r="E151" s="176" t="s">
        <v>51</v>
      </c>
      <c r="F151" s="177"/>
      <c r="G151" s="178"/>
      <c r="H151" s="148">
        <f>ROUNDUP(H150*24/500,0)</f>
        <v>1</v>
      </c>
      <c r="I151" s="150" t="s">
        <v>52</v>
      </c>
      <c r="J151" s="125"/>
      <c r="K151" s="172"/>
      <c r="L151" s="173"/>
      <c r="M151" s="22"/>
      <c r="N151" s="22"/>
      <c r="O151" s="22"/>
      <c r="P151" s="22"/>
      <c r="Q151" s="22"/>
      <c r="R151" s="22"/>
      <c r="S151" s="22"/>
      <c r="T151" s="22"/>
      <c r="U151" s="22"/>
      <c r="V151" s="22"/>
      <c r="W151" s="22"/>
      <c r="X151" s="22"/>
      <c r="Y151" s="22"/>
      <c r="Z151" s="22"/>
      <c r="AA151" s="22"/>
      <c r="AB151" s="22"/>
      <c r="AC151" s="22"/>
      <c r="AD151" s="22"/>
      <c r="AE151" s="22"/>
      <c r="AF151" s="22"/>
      <c r="AG151" s="22"/>
      <c r="AH151" s="22"/>
      <c r="AI151" s="22"/>
      <c r="AJ151" s="22"/>
      <c r="AK151" s="22"/>
      <c r="AL151" s="22"/>
      <c r="AM151" s="22"/>
      <c r="AN151" s="22"/>
      <c r="AO151" s="22"/>
      <c r="AP151" s="22"/>
      <c r="AQ151" s="22"/>
      <c r="AR151" s="22"/>
      <c r="AS151" s="22"/>
      <c r="AT151" s="22"/>
      <c r="AU151" s="22"/>
      <c r="AV151" s="22"/>
      <c r="AW151" s="22"/>
      <c r="AX151" s="22"/>
      <c r="AY151" s="22"/>
      <c r="AZ151" s="22"/>
      <c r="BA151" s="22"/>
      <c r="BB151" s="22"/>
      <c r="BC151" s="22"/>
      <c r="BD151" s="22"/>
      <c r="BE151" s="22"/>
      <c r="BF151" s="22"/>
      <c r="BG151" s="22"/>
      <c r="BH151" s="22"/>
      <c r="BI151" s="22"/>
      <c r="BJ151" s="22"/>
      <c r="BK151" s="22"/>
      <c r="BL151" s="22"/>
      <c r="BM151" s="22"/>
      <c r="BN151" s="22"/>
      <c r="BO151" s="22"/>
      <c r="BP151" s="22"/>
      <c r="BQ151" s="22"/>
      <c r="BR151" s="22"/>
      <c r="BS151" s="22"/>
      <c r="BT151" s="22"/>
      <c r="BU151" s="22"/>
      <c r="BV151" s="22"/>
    </row>
    <row r="152" spans="1:74" s="18" customFormat="1" x14ac:dyDescent="0.2">
      <c r="A152" s="136" t="str">
        <f>IF(F152&lt;&gt;"",1+MAX($A$1:A151),"")</f>
        <v/>
      </c>
      <c r="B152" s="145"/>
      <c r="C152" s="145"/>
      <c r="D152" s="146"/>
      <c r="E152" s="176" t="s">
        <v>53</v>
      </c>
      <c r="F152" s="177"/>
      <c r="G152" s="178"/>
      <c r="H152" s="179">
        <f>ROUNDUP((H149)/200,0)</f>
        <v>2</v>
      </c>
      <c r="I152" s="150" t="s">
        <v>54</v>
      </c>
      <c r="J152" s="125"/>
      <c r="K152" s="172"/>
      <c r="L152" s="173"/>
      <c r="M152" s="22"/>
      <c r="N152" s="22"/>
      <c r="O152" s="22"/>
      <c r="P152" s="22"/>
      <c r="Q152" s="22"/>
      <c r="R152" s="22"/>
      <c r="S152" s="22"/>
      <c r="T152" s="22"/>
      <c r="U152" s="22"/>
      <c r="V152" s="22"/>
      <c r="W152" s="22"/>
      <c r="X152" s="22"/>
      <c r="Y152" s="22"/>
      <c r="Z152" s="22"/>
      <c r="AA152" s="22"/>
      <c r="AB152" s="22"/>
      <c r="AC152" s="22"/>
      <c r="AD152" s="22"/>
      <c r="AE152" s="22"/>
      <c r="AF152" s="22"/>
      <c r="AG152" s="22"/>
      <c r="AH152" s="22"/>
      <c r="AI152" s="22"/>
      <c r="AJ152" s="22"/>
      <c r="AK152" s="22"/>
      <c r="AL152" s="22"/>
      <c r="AM152" s="22"/>
      <c r="AN152" s="22"/>
      <c r="AO152" s="22"/>
      <c r="AP152" s="22"/>
      <c r="AQ152" s="22"/>
      <c r="AR152" s="22"/>
      <c r="AS152" s="22"/>
      <c r="AT152" s="22"/>
      <c r="AU152" s="22"/>
      <c r="AV152" s="22"/>
      <c r="AW152" s="22"/>
      <c r="AX152" s="22"/>
      <c r="AY152" s="22"/>
      <c r="AZ152" s="22"/>
      <c r="BA152" s="22"/>
      <c r="BB152" s="22"/>
      <c r="BC152" s="22"/>
      <c r="BD152" s="22"/>
      <c r="BE152" s="22"/>
      <c r="BF152" s="22"/>
      <c r="BG152" s="22"/>
      <c r="BH152" s="22"/>
      <c r="BI152" s="22"/>
      <c r="BJ152" s="22"/>
      <c r="BK152" s="22"/>
      <c r="BL152" s="22"/>
      <c r="BM152" s="22"/>
      <c r="BN152" s="22"/>
      <c r="BO152" s="22"/>
      <c r="BP152" s="22"/>
      <c r="BQ152" s="22"/>
      <c r="BR152" s="22"/>
      <c r="BS152" s="22"/>
      <c r="BT152" s="22"/>
      <c r="BU152" s="22"/>
      <c r="BV152" s="22"/>
    </row>
    <row r="153" spans="1:74" s="18" customFormat="1" x14ac:dyDescent="0.2">
      <c r="A153" s="136" t="str">
        <f>IF(F153&lt;&gt;"",1+MAX($A$1:A152),"")</f>
        <v/>
      </c>
      <c r="B153" s="145"/>
      <c r="C153" s="145"/>
      <c r="D153" s="146"/>
      <c r="E153" s="176" t="s">
        <v>55</v>
      </c>
      <c r="F153" s="177"/>
      <c r="G153" s="178"/>
      <c r="H153" s="179">
        <f>ROUNDUP((H149)*5.25/1000,0)</f>
        <v>3</v>
      </c>
      <c r="I153" s="150" t="s">
        <v>56</v>
      </c>
      <c r="J153" s="125"/>
      <c r="K153" s="172"/>
      <c r="L153" s="173"/>
      <c r="M153" s="22"/>
      <c r="N153" s="22"/>
      <c r="O153" s="22"/>
      <c r="P153" s="22"/>
      <c r="Q153" s="22"/>
      <c r="R153" s="22"/>
      <c r="S153" s="22"/>
      <c r="T153" s="22"/>
      <c r="U153" s="22"/>
      <c r="V153" s="22"/>
      <c r="W153" s="22"/>
      <c r="X153" s="22"/>
      <c r="Y153" s="22"/>
      <c r="Z153" s="22"/>
      <c r="AA153" s="22"/>
      <c r="AB153" s="22"/>
      <c r="AC153" s="22"/>
      <c r="AD153" s="22"/>
      <c r="AE153" s="22"/>
      <c r="AF153" s="22"/>
      <c r="AG153" s="22"/>
      <c r="AH153" s="22"/>
      <c r="AI153" s="22"/>
      <c r="AJ153" s="22"/>
      <c r="AK153" s="22"/>
      <c r="AL153" s="22"/>
      <c r="AM153" s="22"/>
      <c r="AN153" s="22"/>
      <c r="AO153" s="22"/>
      <c r="AP153" s="22"/>
      <c r="AQ153" s="22"/>
      <c r="AR153" s="22"/>
      <c r="AS153" s="22"/>
      <c r="AT153" s="22"/>
      <c r="AU153" s="22"/>
      <c r="AV153" s="22"/>
      <c r="AW153" s="22"/>
      <c r="AX153" s="22"/>
      <c r="AY153" s="22"/>
      <c r="AZ153" s="22"/>
      <c r="BA153" s="22"/>
      <c r="BB153" s="22"/>
      <c r="BC153" s="22"/>
      <c r="BD153" s="22"/>
      <c r="BE153" s="22"/>
      <c r="BF153" s="22"/>
      <c r="BG153" s="22"/>
      <c r="BH153" s="22"/>
      <c r="BI153" s="22"/>
      <c r="BJ153" s="22"/>
      <c r="BK153" s="22"/>
      <c r="BL153" s="22"/>
      <c r="BM153" s="22"/>
      <c r="BN153" s="22"/>
      <c r="BO153" s="22"/>
      <c r="BP153" s="22"/>
      <c r="BQ153" s="22"/>
      <c r="BR153" s="22"/>
      <c r="BS153" s="22"/>
      <c r="BT153" s="22"/>
      <c r="BU153" s="22"/>
      <c r="BV153" s="22"/>
    </row>
    <row r="154" spans="1:74" s="18" customFormat="1" x14ac:dyDescent="0.2">
      <c r="A154" s="136">
        <f>IF(F154&lt;&gt;"",1+MAX($A$1:A153),"")</f>
        <v>73</v>
      </c>
      <c r="B154" s="145" t="s">
        <v>135</v>
      </c>
      <c r="C154" s="145"/>
      <c r="D154" s="146"/>
      <c r="E154" s="174" t="s">
        <v>57</v>
      </c>
      <c r="F154" s="154">
        <f>22.3*4</f>
        <v>89.2</v>
      </c>
      <c r="G154" s="96">
        <v>7.0000000000000007E-2</v>
      </c>
      <c r="H154" s="148">
        <f>F154*(1+G154)</f>
        <v>95.444000000000003</v>
      </c>
      <c r="I154" s="150" t="s">
        <v>15</v>
      </c>
      <c r="J154" s="125">
        <f>J$145</f>
        <v>0</v>
      </c>
      <c r="K154" s="172">
        <f>J154*H154</f>
        <v>0</v>
      </c>
      <c r="L154" s="173"/>
      <c r="M154" s="22"/>
      <c r="N154" s="22"/>
      <c r="O154" s="22"/>
      <c r="P154" s="22"/>
      <c r="Q154" s="22"/>
      <c r="R154" s="22"/>
      <c r="S154" s="22"/>
      <c r="T154" s="22"/>
      <c r="U154" s="22"/>
      <c r="V154" s="22"/>
      <c r="W154" s="22"/>
      <c r="X154" s="22"/>
      <c r="Y154" s="22"/>
      <c r="Z154" s="22"/>
      <c r="AA154" s="22"/>
      <c r="AB154" s="22"/>
      <c r="AC154" s="22"/>
      <c r="AD154" s="22"/>
      <c r="AE154" s="22"/>
      <c r="AF154" s="22"/>
      <c r="AG154" s="22"/>
      <c r="AH154" s="22"/>
      <c r="AI154" s="22"/>
      <c r="AJ154" s="22"/>
      <c r="AK154" s="22"/>
      <c r="AL154" s="22"/>
      <c r="AM154" s="22"/>
      <c r="AN154" s="22"/>
      <c r="AO154" s="22"/>
      <c r="AP154" s="22"/>
      <c r="AQ154" s="22"/>
      <c r="AR154" s="22"/>
      <c r="AS154" s="22"/>
      <c r="AT154" s="22"/>
      <c r="AU154" s="22"/>
      <c r="AV154" s="22"/>
      <c r="AW154" s="22"/>
      <c r="AX154" s="22"/>
      <c r="AY154" s="22"/>
      <c r="AZ154" s="22"/>
      <c r="BA154" s="22"/>
      <c r="BB154" s="22"/>
      <c r="BC154" s="22"/>
      <c r="BD154" s="22"/>
      <c r="BE154" s="22"/>
      <c r="BF154" s="22"/>
      <c r="BG154" s="22"/>
      <c r="BH154" s="22"/>
      <c r="BI154" s="22"/>
      <c r="BJ154" s="22"/>
      <c r="BK154" s="22"/>
      <c r="BL154" s="22"/>
      <c r="BM154" s="22"/>
      <c r="BN154" s="22"/>
      <c r="BO154" s="22"/>
      <c r="BP154" s="22"/>
      <c r="BQ154" s="22"/>
      <c r="BR154" s="22"/>
      <c r="BS154" s="22"/>
      <c r="BT154" s="22"/>
      <c r="BU154" s="22"/>
      <c r="BV154" s="22"/>
    </row>
    <row r="155" spans="1:74" s="18" customFormat="1" x14ac:dyDescent="0.2">
      <c r="A155" s="136" t="str">
        <f>IF(F155&lt;&gt;"",1+MAX($A$1:A154),"")</f>
        <v/>
      </c>
      <c r="B155" s="145"/>
      <c r="C155" s="145"/>
      <c r="D155" s="146"/>
      <c r="E155" s="171" t="s">
        <v>175</v>
      </c>
      <c r="F155" s="154"/>
      <c r="G155" s="149"/>
      <c r="H155" s="148"/>
      <c r="I155" s="150"/>
      <c r="J155" s="125"/>
      <c r="K155" s="172"/>
      <c r="L155" s="173"/>
      <c r="M155" s="22"/>
      <c r="N155" s="22"/>
      <c r="O155" s="22"/>
      <c r="P155" s="22"/>
      <c r="Q155" s="22"/>
      <c r="R155" s="22"/>
      <c r="S155" s="22"/>
      <c r="T155" s="22"/>
      <c r="U155" s="22"/>
      <c r="V155" s="22"/>
      <c r="W155" s="22"/>
      <c r="X155" s="22"/>
      <c r="Y155" s="22"/>
      <c r="Z155" s="22"/>
      <c r="AA155" s="22"/>
      <c r="AB155" s="22"/>
      <c r="AC155" s="22"/>
      <c r="AD155" s="22"/>
      <c r="AE155" s="22"/>
      <c r="AF155" s="22"/>
      <c r="AG155" s="22"/>
      <c r="AH155" s="22"/>
      <c r="AI155" s="22"/>
      <c r="AJ155" s="22"/>
      <c r="AK155" s="22"/>
      <c r="AL155" s="22"/>
      <c r="AM155" s="22"/>
      <c r="AN155" s="22"/>
      <c r="AO155" s="22"/>
      <c r="AP155" s="22"/>
      <c r="AQ155" s="22"/>
      <c r="AR155" s="22"/>
      <c r="AS155" s="22"/>
      <c r="AT155" s="22"/>
      <c r="AU155" s="22"/>
      <c r="AV155" s="22"/>
      <c r="AW155" s="22"/>
      <c r="AX155" s="22"/>
      <c r="AY155" s="22"/>
      <c r="AZ155" s="22"/>
      <c r="BA155" s="22"/>
      <c r="BB155" s="22"/>
      <c r="BC155" s="22"/>
      <c r="BD155" s="22"/>
      <c r="BE155" s="22"/>
      <c r="BF155" s="22"/>
      <c r="BG155" s="22"/>
      <c r="BH155" s="22"/>
      <c r="BI155" s="22"/>
      <c r="BJ155" s="22"/>
      <c r="BK155" s="22"/>
      <c r="BL155" s="22"/>
      <c r="BM155" s="22"/>
      <c r="BN155" s="22"/>
      <c r="BO155" s="22"/>
      <c r="BP155" s="22"/>
      <c r="BQ155" s="22"/>
      <c r="BR155" s="22"/>
      <c r="BS155" s="22"/>
      <c r="BT155" s="22"/>
      <c r="BU155" s="22"/>
      <c r="BV155" s="22"/>
    </row>
    <row r="156" spans="1:74" s="18" customFormat="1" x14ac:dyDescent="0.2">
      <c r="A156" s="136">
        <f>IF(F156&lt;&gt;"",1+MAX($A$1:A155),"")</f>
        <v>74</v>
      </c>
      <c r="B156" s="145" t="s">
        <v>135</v>
      </c>
      <c r="C156" s="145"/>
      <c r="D156" s="154"/>
      <c r="E156" s="174" t="s">
        <v>173</v>
      </c>
      <c r="F156" s="154">
        <f>5.1*6.67*2+2.7*6.67</f>
        <v>86.042999999999992</v>
      </c>
      <c r="G156" s="96">
        <v>7.0000000000000007E-2</v>
      </c>
      <c r="H156" s="148">
        <f>F156*(1+G156)</f>
        <v>92.066009999999991</v>
      </c>
      <c r="I156" s="150" t="s">
        <v>18</v>
      </c>
      <c r="J156" s="125">
        <f>J$135</f>
        <v>0</v>
      </c>
      <c r="K156" s="172">
        <f>J156*H156</f>
        <v>0</v>
      </c>
      <c r="L156" s="173"/>
      <c r="M156" s="22"/>
      <c r="N156" s="22"/>
      <c r="O156" s="22"/>
      <c r="P156" s="22"/>
      <c r="Q156" s="22"/>
      <c r="R156" s="22"/>
      <c r="S156" s="22"/>
      <c r="T156" s="22"/>
      <c r="U156" s="22"/>
      <c r="V156" s="22"/>
      <c r="W156" s="22"/>
      <c r="X156" s="22"/>
      <c r="Y156" s="22"/>
      <c r="Z156" s="22"/>
      <c r="AA156" s="22"/>
      <c r="AB156" s="22"/>
      <c r="AC156" s="22"/>
      <c r="AD156" s="22"/>
      <c r="AE156" s="22"/>
      <c r="AF156" s="22"/>
      <c r="AG156" s="22"/>
      <c r="AH156" s="22"/>
      <c r="AI156" s="22"/>
      <c r="AJ156" s="22"/>
      <c r="AK156" s="22"/>
      <c r="AL156" s="22"/>
      <c r="AM156" s="22"/>
      <c r="AN156" s="22"/>
      <c r="AO156" s="22"/>
      <c r="AP156" s="22"/>
      <c r="AQ156" s="22"/>
      <c r="AR156" s="22"/>
      <c r="AS156" s="22"/>
      <c r="AT156" s="22"/>
      <c r="AU156" s="22"/>
      <c r="AV156" s="22"/>
      <c r="AW156" s="22"/>
      <c r="AX156" s="22"/>
      <c r="AY156" s="22"/>
      <c r="AZ156" s="22"/>
      <c r="BA156" s="22"/>
      <c r="BB156" s="22"/>
      <c r="BC156" s="22"/>
      <c r="BD156" s="22"/>
      <c r="BE156" s="22"/>
      <c r="BF156" s="22"/>
      <c r="BG156" s="22"/>
      <c r="BH156" s="22"/>
      <c r="BI156" s="22"/>
      <c r="BJ156" s="22"/>
      <c r="BK156" s="22"/>
      <c r="BL156" s="22"/>
      <c r="BM156" s="22"/>
      <c r="BN156" s="22"/>
      <c r="BO156" s="22"/>
      <c r="BP156" s="22"/>
      <c r="BQ156" s="22"/>
      <c r="BR156" s="22"/>
      <c r="BS156" s="22"/>
      <c r="BT156" s="22"/>
      <c r="BU156" s="22"/>
      <c r="BV156" s="22"/>
    </row>
    <row r="157" spans="1:74" s="18" customFormat="1" x14ac:dyDescent="0.2">
      <c r="A157" s="136" t="str">
        <f>IF(F157&lt;&gt;"",1+MAX($A$1:A156),"")</f>
        <v/>
      </c>
      <c r="B157" s="145"/>
      <c r="C157" s="145"/>
      <c r="D157" s="146"/>
      <c r="E157" s="176" t="s">
        <v>49</v>
      </c>
      <c r="F157" s="177"/>
      <c r="G157" s="178"/>
      <c r="H157" s="148">
        <f>ROUNDUP((H156)/32,0)</f>
        <v>3</v>
      </c>
      <c r="I157" s="150" t="s">
        <v>50</v>
      </c>
      <c r="J157" s="125"/>
      <c r="K157" s="172"/>
      <c r="L157" s="173"/>
      <c r="M157" s="22"/>
      <c r="N157" s="22"/>
      <c r="O157" s="22"/>
      <c r="P157" s="22"/>
      <c r="Q157" s="22"/>
      <c r="R157" s="22"/>
      <c r="S157" s="22"/>
      <c r="T157" s="22"/>
      <c r="U157" s="22"/>
      <c r="V157" s="22"/>
      <c r="W157" s="22"/>
      <c r="X157" s="22"/>
      <c r="Y157" s="22"/>
      <c r="Z157" s="22"/>
      <c r="AA157" s="22"/>
      <c r="AB157" s="22"/>
      <c r="AC157" s="22"/>
      <c r="AD157" s="22"/>
      <c r="AE157" s="22"/>
      <c r="AF157" s="22"/>
      <c r="AG157" s="22"/>
      <c r="AH157" s="22"/>
      <c r="AI157" s="22"/>
      <c r="AJ157" s="22"/>
      <c r="AK157" s="22"/>
      <c r="AL157" s="22"/>
      <c r="AM157" s="22"/>
      <c r="AN157" s="22"/>
      <c r="AO157" s="22"/>
      <c r="AP157" s="22"/>
      <c r="AQ157" s="22"/>
      <c r="AR157" s="22"/>
      <c r="AS157" s="22"/>
      <c r="AT157" s="22"/>
      <c r="AU157" s="22"/>
      <c r="AV157" s="22"/>
      <c r="AW157" s="22"/>
      <c r="AX157" s="22"/>
      <c r="AY157" s="22"/>
      <c r="AZ157" s="22"/>
      <c r="BA157" s="22"/>
      <c r="BB157" s="22"/>
      <c r="BC157" s="22"/>
      <c r="BD157" s="22"/>
      <c r="BE157" s="22"/>
      <c r="BF157" s="22"/>
      <c r="BG157" s="22"/>
      <c r="BH157" s="22"/>
      <c r="BI157" s="22"/>
      <c r="BJ157" s="22"/>
      <c r="BK157" s="22"/>
      <c r="BL157" s="22"/>
      <c r="BM157" s="22"/>
      <c r="BN157" s="22"/>
      <c r="BO157" s="22"/>
      <c r="BP157" s="22"/>
      <c r="BQ157" s="22"/>
      <c r="BR157" s="22"/>
      <c r="BS157" s="22"/>
      <c r="BT157" s="22"/>
      <c r="BU157" s="22"/>
      <c r="BV157" s="22"/>
    </row>
    <row r="158" spans="1:74" s="18" customFormat="1" x14ac:dyDescent="0.2">
      <c r="A158" s="136" t="str">
        <f>IF(F158&lt;&gt;"",1+MAX($A$1:A157),"")</f>
        <v/>
      </c>
      <c r="B158" s="145"/>
      <c r="C158" s="145"/>
      <c r="D158" s="146"/>
      <c r="E158" s="176" t="s">
        <v>51</v>
      </c>
      <c r="F158" s="177"/>
      <c r="G158" s="178"/>
      <c r="H158" s="148">
        <f>ROUNDUP(H157*24/500,0)</f>
        <v>1</v>
      </c>
      <c r="I158" s="150" t="s">
        <v>52</v>
      </c>
      <c r="J158" s="125"/>
      <c r="K158" s="172"/>
      <c r="L158" s="173"/>
      <c r="M158" s="22"/>
      <c r="N158" s="22"/>
      <c r="O158" s="22"/>
      <c r="P158" s="22"/>
      <c r="Q158" s="22"/>
      <c r="R158" s="22"/>
      <c r="S158" s="22"/>
      <c r="T158" s="22"/>
      <c r="U158" s="22"/>
      <c r="V158" s="22"/>
      <c r="W158" s="22"/>
      <c r="X158" s="22"/>
      <c r="Y158" s="22"/>
      <c r="Z158" s="22"/>
      <c r="AA158" s="22"/>
      <c r="AB158" s="22"/>
      <c r="AC158" s="22"/>
      <c r="AD158" s="22"/>
      <c r="AE158" s="22"/>
      <c r="AF158" s="22"/>
      <c r="AG158" s="22"/>
      <c r="AH158" s="22"/>
      <c r="AI158" s="22"/>
      <c r="AJ158" s="22"/>
      <c r="AK158" s="22"/>
      <c r="AL158" s="22"/>
      <c r="AM158" s="22"/>
      <c r="AN158" s="22"/>
      <c r="AO158" s="22"/>
      <c r="AP158" s="22"/>
      <c r="AQ158" s="22"/>
      <c r="AR158" s="22"/>
      <c r="AS158" s="22"/>
      <c r="AT158" s="22"/>
      <c r="AU158" s="22"/>
      <c r="AV158" s="22"/>
      <c r="AW158" s="22"/>
      <c r="AX158" s="22"/>
      <c r="AY158" s="22"/>
      <c r="AZ158" s="22"/>
      <c r="BA158" s="22"/>
      <c r="BB158" s="22"/>
      <c r="BC158" s="22"/>
      <c r="BD158" s="22"/>
      <c r="BE158" s="22"/>
      <c r="BF158" s="22"/>
      <c r="BG158" s="22"/>
      <c r="BH158" s="22"/>
      <c r="BI158" s="22"/>
      <c r="BJ158" s="22"/>
      <c r="BK158" s="22"/>
      <c r="BL158" s="22"/>
      <c r="BM158" s="22"/>
      <c r="BN158" s="22"/>
      <c r="BO158" s="22"/>
      <c r="BP158" s="22"/>
      <c r="BQ158" s="22"/>
      <c r="BR158" s="22"/>
      <c r="BS158" s="22"/>
      <c r="BT158" s="22"/>
      <c r="BU158" s="22"/>
      <c r="BV158" s="22"/>
    </row>
    <row r="159" spans="1:74" s="18" customFormat="1" x14ac:dyDescent="0.2">
      <c r="A159" s="136" t="str">
        <f>IF(F159&lt;&gt;"",1+MAX($A$1:A158),"")</f>
        <v/>
      </c>
      <c r="B159" s="145"/>
      <c r="C159" s="145"/>
      <c r="D159" s="146"/>
      <c r="E159" s="176" t="s">
        <v>53</v>
      </c>
      <c r="F159" s="177"/>
      <c r="G159" s="178"/>
      <c r="H159" s="179">
        <f>ROUNDUP((H156)/200,0)</f>
        <v>1</v>
      </c>
      <c r="I159" s="150" t="s">
        <v>54</v>
      </c>
      <c r="J159" s="125"/>
      <c r="K159" s="172"/>
      <c r="L159" s="173"/>
      <c r="M159" s="22"/>
      <c r="N159" s="22"/>
      <c r="O159" s="22"/>
      <c r="P159" s="22"/>
      <c r="Q159" s="22"/>
      <c r="R159" s="22"/>
      <c r="S159" s="22"/>
      <c r="T159" s="22"/>
      <c r="U159" s="22"/>
      <c r="V159" s="22"/>
      <c r="W159" s="22"/>
      <c r="X159" s="22"/>
      <c r="Y159" s="22"/>
      <c r="Z159" s="22"/>
      <c r="AA159" s="22"/>
      <c r="AB159" s="22"/>
      <c r="AC159" s="22"/>
      <c r="AD159" s="22"/>
      <c r="AE159" s="22"/>
      <c r="AF159" s="22"/>
      <c r="AG159" s="22"/>
      <c r="AH159" s="22"/>
      <c r="AI159" s="22"/>
      <c r="AJ159" s="22"/>
      <c r="AK159" s="22"/>
      <c r="AL159" s="22"/>
      <c r="AM159" s="22"/>
      <c r="AN159" s="22"/>
      <c r="AO159" s="22"/>
      <c r="AP159" s="22"/>
      <c r="AQ159" s="22"/>
      <c r="AR159" s="22"/>
      <c r="AS159" s="22"/>
      <c r="AT159" s="22"/>
      <c r="AU159" s="22"/>
      <c r="AV159" s="22"/>
      <c r="AW159" s="22"/>
      <c r="AX159" s="22"/>
      <c r="AY159" s="22"/>
      <c r="AZ159" s="22"/>
      <c r="BA159" s="22"/>
      <c r="BB159" s="22"/>
      <c r="BC159" s="22"/>
      <c r="BD159" s="22"/>
      <c r="BE159" s="22"/>
      <c r="BF159" s="22"/>
      <c r="BG159" s="22"/>
      <c r="BH159" s="22"/>
      <c r="BI159" s="22"/>
      <c r="BJ159" s="22"/>
      <c r="BK159" s="22"/>
      <c r="BL159" s="22"/>
      <c r="BM159" s="22"/>
      <c r="BN159" s="22"/>
      <c r="BO159" s="22"/>
      <c r="BP159" s="22"/>
      <c r="BQ159" s="22"/>
      <c r="BR159" s="22"/>
      <c r="BS159" s="22"/>
      <c r="BT159" s="22"/>
      <c r="BU159" s="22"/>
      <c r="BV159" s="22"/>
    </row>
    <row r="160" spans="1:74" s="18" customFormat="1" x14ac:dyDescent="0.2">
      <c r="A160" s="136" t="str">
        <f>IF(F160&lt;&gt;"",1+MAX($A$1:A159),"")</f>
        <v/>
      </c>
      <c r="B160" s="145"/>
      <c r="C160" s="145"/>
      <c r="D160" s="146"/>
      <c r="E160" s="176" t="s">
        <v>55</v>
      </c>
      <c r="F160" s="177"/>
      <c r="G160" s="178"/>
      <c r="H160" s="179">
        <f>ROUNDUP((H156)*5.25/1000,0)</f>
        <v>1</v>
      </c>
      <c r="I160" s="150" t="s">
        <v>56</v>
      </c>
      <c r="J160" s="125"/>
      <c r="K160" s="172"/>
      <c r="L160" s="173"/>
      <c r="M160" s="22"/>
      <c r="N160" s="22"/>
      <c r="O160" s="22"/>
      <c r="P160" s="22"/>
      <c r="Q160" s="22"/>
      <c r="R160" s="22"/>
      <c r="S160" s="22"/>
      <c r="T160" s="22"/>
      <c r="U160" s="22"/>
      <c r="V160" s="22"/>
      <c r="W160" s="22"/>
      <c r="X160" s="22"/>
      <c r="Y160" s="22"/>
      <c r="Z160" s="22"/>
      <c r="AA160" s="22"/>
      <c r="AB160" s="22"/>
      <c r="AC160" s="22"/>
      <c r="AD160" s="22"/>
      <c r="AE160" s="22"/>
      <c r="AF160" s="22"/>
      <c r="AG160" s="22"/>
      <c r="AH160" s="22"/>
      <c r="AI160" s="22"/>
      <c r="AJ160" s="22"/>
      <c r="AK160" s="22"/>
      <c r="AL160" s="22"/>
      <c r="AM160" s="22"/>
      <c r="AN160" s="22"/>
      <c r="AO160" s="22"/>
      <c r="AP160" s="22"/>
      <c r="AQ160" s="22"/>
      <c r="AR160" s="22"/>
      <c r="AS160" s="22"/>
      <c r="AT160" s="22"/>
      <c r="AU160" s="22"/>
      <c r="AV160" s="22"/>
      <c r="AW160" s="22"/>
      <c r="AX160" s="22"/>
      <c r="AY160" s="22"/>
      <c r="AZ160" s="22"/>
      <c r="BA160" s="22"/>
      <c r="BB160" s="22"/>
      <c r="BC160" s="22"/>
      <c r="BD160" s="22"/>
      <c r="BE160" s="22"/>
      <c r="BF160" s="22"/>
      <c r="BG160" s="22"/>
      <c r="BH160" s="22"/>
      <c r="BI160" s="22"/>
      <c r="BJ160" s="22"/>
      <c r="BK160" s="22"/>
      <c r="BL160" s="22"/>
      <c r="BM160" s="22"/>
      <c r="BN160" s="22"/>
      <c r="BO160" s="22"/>
      <c r="BP160" s="22"/>
      <c r="BQ160" s="22"/>
      <c r="BR160" s="22"/>
      <c r="BS160" s="22"/>
      <c r="BT160" s="22"/>
      <c r="BU160" s="22"/>
      <c r="BV160" s="22"/>
    </row>
    <row r="161" spans="1:74" s="18" customFormat="1" x14ac:dyDescent="0.2">
      <c r="A161" s="136">
        <f>IF(F161&lt;&gt;"",1+MAX($A$1:A160),"")</f>
        <v>75</v>
      </c>
      <c r="B161" s="145" t="s">
        <v>135</v>
      </c>
      <c r="C161" s="145"/>
      <c r="D161" s="154"/>
      <c r="E161" s="174" t="s">
        <v>174</v>
      </c>
      <c r="F161" s="154">
        <f>2.7*6.67</f>
        <v>18.009</v>
      </c>
      <c r="G161" s="96">
        <v>7.0000000000000007E-2</v>
      </c>
      <c r="H161" s="148">
        <f>F161*(1+G161)</f>
        <v>19.269630000000003</v>
      </c>
      <c r="I161" s="150" t="s">
        <v>18</v>
      </c>
      <c r="J161" s="125">
        <f>J$140</f>
        <v>0</v>
      </c>
      <c r="K161" s="172">
        <f>J161*H161</f>
        <v>0</v>
      </c>
      <c r="L161" s="173"/>
      <c r="M161" s="22"/>
      <c r="N161" s="22"/>
      <c r="O161" s="22"/>
      <c r="P161" s="22"/>
      <c r="Q161" s="22"/>
      <c r="R161" s="22"/>
      <c r="S161" s="22"/>
      <c r="T161" s="22"/>
      <c r="U161" s="22"/>
      <c r="V161" s="22"/>
      <c r="W161" s="22"/>
      <c r="X161" s="22"/>
      <c r="Y161" s="22"/>
      <c r="Z161" s="22"/>
      <c r="AA161" s="22"/>
      <c r="AB161" s="22"/>
      <c r="AC161" s="22"/>
      <c r="AD161" s="22"/>
      <c r="AE161" s="22"/>
      <c r="AF161" s="22"/>
      <c r="AG161" s="22"/>
      <c r="AH161" s="22"/>
      <c r="AI161" s="22"/>
      <c r="AJ161" s="22"/>
      <c r="AK161" s="22"/>
      <c r="AL161" s="22"/>
      <c r="AM161" s="22"/>
      <c r="AN161" s="22"/>
      <c r="AO161" s="22"/>
      <c r="AP161" s="22"/>
      <c r="AQ161" s="22"/>
      <c r="AR161" s="22"/>
      <c r="AS161" s="22"/>
      <c r="AT161" s="22"/>
      <c r="AU161" s="22"/>
      <c r="AV161" s="22"/>
      <c r="AW161" s="22"/>
      <c r="AX161" s="22"/>
      <c r="AY161" s="22"/>
      <c r="AZ161" s="22"/>
      <c r="BA161" s="22"/>
      <c r="BB161" s="22"/>
      <c r="BC161" s="22"/>
      <c r="BD161" s="22"/>
      <c r="BE161" s="22"/>
      <c r="BF161" s="22"/>
      <c r="BG161" s="22"/>
      <c r="BH161" s="22"/>
      <c r="BI161" s="22"/>
      <c r="BJ161" s="22"/>
      <c r="BK161" s="22"/>
      <c r="BL161" s="22"/>
      <c r="BM161" s="22"/>
      <c r="BN161" s="22"/>
      <c r="BO161" s="22"/>
      <c r="BP161" s="22"/>
      <c r="BQ161" s="22"/>
      <c r="BR161" s="22"/>
      <c r="BS161" s="22"/>
      <c r="BT161" s="22"/>
      <c r="BU161" s="22"/>
      <c r="BV161" s="22"/>
    </row>
    <row r="162" spans="1:74" s="18" customFormat="1" x14ac:dyDescent="0.2">
      <c r="A162" s="136" t="str">
        <f>IF(F162&lt;&gt;"",1+MAX($A$1:A161),"")</f>
        <v/>
      </c>
      <c r="B162" s="145"/>
      <c r="C162" s="145"/>
      <c r="D162" s="146"/>
      <c r="E162" s="176" t="s">
        <v>49</v>
      </c>
      <c r="F162" s="177"/>
      <c r="G162" s="178"/>
      <c r="H162" s="148">
        <f>ROUNDUP((H161)/32,0)</f>
        <v>1</v>
      </c>
      <c r="I162" s="150" t="s">
        <v>50</v>
      </c>
      <c r="J162" s="125"/>
      <c r="K162" s="172"/>
      <c r="L162" s="173"/>
      <c r="M162" s="22"/>
      <c r="N162" s="22"/>
      <c r="O162" s="22"/>
      <c r="P162" s="22"/>
      <c r="Q162" s="22"/>
      <c r="R162" s="22"/>
      <c r="S162" s="22"/>
      <c r="T162" s="22"/>
      <c r="U162" s="22"/>
      <c r="V162" s="22"/>
      <c r="W162" s="22"/>
      <c r="X162" s="22"/>
      <c r="Y162" s="22"/>
      <c r="Z162" s="22"/>
      <c r="AA162" s="22"/>
      <c r="AB162" s="22"/>
      <c r="AC162" s="22"/>
      <c r="AD162" s="22"/>
      <c r="AE162" s="22"/>
      <c r="AF162" s="22"/>
      <c r="AG162" s="22"/>
      <c r="AH162" s="22"/>
      <c r="AI162" s="22"/>
      <c r="AJ162" s="22"/>
      <c r="AK162" s="22"/>
      <c r="AL162" s="22"/>
      <c r="AM162" s="22"/>
      <c r="AN162" s="22"/>
      <c r="AO162" s="22"/>
      <c r="AP162" s="22"/>
      <c r="AQ162" s="22"/>
      <c r="AR162" s="22"/>
      <c r="AS162" s="22"/>
      <c r="AT162" s="22"/>
      <c r="AU162" s="22"/>
      <c r="AV162" s="22"/>
      <c r="AW162" s="22"/>
      <c r="AX162" s="22"/>
      <c r="AY162" s="22"/>
      <c r="AZ162" s="22"/>
      <c r="BA162" s="22"/>
      <c r="BB162" s="22"/>
      <c r="BC162" s="22"/>
      <c r="BD162" s="22"/>
      <c r="BE162" s="22"/>
      <c r="BF162" s="22"/>
      <c r="BG162" s="22"/>
      <c r="BH162" s="22"/>
      <c r="BI162" s="22"/>
      <c r="BJ162" s="22"/>
      <c r="BK162" s="22"/>
      <c r="BL162" s="22"/>
      <c r="BM162" s="22"/>
      <c r="BN162" s="22"/>
      <c r="BO162" s="22"/>
      <c r="BP162" s="22"/>
      <c r="BQ162" s="22"/>
      <c r="BR162" s="22"/>
      <c r="BS162" s="22"/>
      <c r="BT162" s="22"/>
      <c r="BU162" s="22"/>
      <c r="BV162" s="22"/>
    </row>
    <row r="163" spans="1:74" s="18" customFormat="1" x14ac:dyDescent="0.2">
      <c r="A163" s="136" t="str">
        <f>IF(F163&lt;&gt;"",1+MAX($A$1:A162),"")</f>
        <v/>
      </c>
      <c r="B163" s="145"/>
      <c r="C163" s="145"/>
      <c r="D163" s="146"/>
      <c r="E163" s="176" t="s">
        <v>51</v>
      </c>
      <c r="F163" s="177"/>
      <c r="G163" s="178"/>
      <c r="H163" s="148">
        <f>ROUNDUP(H162*24/500,0)</f>
        <v>1</v>
      </c>
      <c r="I163" s="150" t="s">
        <v>52</v>
      </c>
      <c r="J163" s="125"/>
      <c r="K163" s="172"/>
      <c r="L163" s="173"/>
      <c r="M163" s="22"/>
      <c r="N163" s="22"/>
      <c r="O163" s="22"/>
      <c r="P163" s="22"/>
      <c r="Q163" s="22"/>
      <c r="R163" s="22"/>
      <c r="S163" s="22"/>
      <c r="T163" s="22"/>
      <c r="U163" s="22"/>
      <c r="V163" s="22"/>
      <c r="W163" s="22"/>
      <c r="X163" s="22"/>
      <c r="Y163" s="22"/>
      <c r="Z163" s="22"/>
      <c r="AA163" s="22"/>
      <c r="AB163" s="22"/>
      <c r="AC163" s="22"/>
      <c r="AD163" s="22"/>
      <c r="AE163" s="22"/>
      <c r="AF163" s="22"/>
      <c r="AG163" s="22"/>
      <c r="AH163" s="22"/>
      <c r="AI163" s="22"/>
      <c r="AJ163" s="22"/>
      <c r="AK163" s="22"/>
      <c r="AL163" s="22"/>
      <c r="AM163" s="22"/>
      <c r="AN163" s="22"/>
      <c r="AO163" s="22"/>
      <c r="AP163" s="22"/>
      <c r="AQ163" s="22"/>
      <c r="AR163" s="22"/>
      <c r="AS163" s="22"/>
      <c r="AT163" s="22"/>
      <c r="AU163" s="22"/>
      <c r="AV163" s="22"/>
      <c r="AW163" s="22"/>
      <c r="AX163" s="22"/>
      <c r="AY163" s="22"/>
      <c r="AZ163" s="22"/>
      <c r="BA163" s="22"/>
      <c r="BB163" s="22"/>
      <c r="BC163" s="22"/>
      <c r="BD163" s="22"/>
      <c r="BE163" s="22"/>
      <c r="BF163" s="22"/>
      <c r="BG163" s="22"/>
      <c r="BH163" s="22"/>
      <c r="BI163" s="22"/>
      <c r="BJ163" s="22"/>
      <c r="BK163" s="22"/>
      <c r="BL163" s="22"/>
      <c r="BM163" s="22"/>
      <c r="BN163" s="22"/>
      <c r="BO163" s="22"/>
      <c r="BP163" s="22"/>
      <c r="BQ163" s="22"/>
      <c r="BR163" s="22"/>
      <c r="BS163" s="22"/>
      <c r="BT163" s="22"/>
      <c r="BU163" s="22"/>
      <c r="BV163" s="22"/>
    </row>
    <row r="164" spans="1:74" s="18" customFormat="1" x14ac:dyDescent="0.2">
      <c r="A164" s="136" t="str">
        <f>IF(F164&lt;&gt;"",1+MAX($A$1:A163),"")</f>
        <v/>
      </c>
      <c r="B164" s="145"/>
      <c r="C164" s="145"/>
      <c r="D164" s="146"/>
      <c r="E164" s="176" t="s">
        <v>53</v>
      </c>
      <c r="F164" s="177"/>
      <c r="G164" s="178"/>
      <c r="H164" s="179">
        <f>ROUNDUP((H161)/200,0)</f>
        <v>1</v>
      </c>
      <c r="I164" s="150" t="s">
        <v>54</v>
      </c>
      <c r="J164" s="125"/>
      <c r="K164" s="172"/>
      <c r="L164" s="173"/>
      <c r="M164" s="22"/>
      <c r="N164" s="22"/>
      <c r="O164" s="22"/>
      <c r="P164" s="22"/>
      <c r="Q164" s="22"/>
      <c r="R164" s="22"/>
      <c r="S164" s="22"/>
      <c r="T164" s="22"/>
      <c r="U164" s="22"/>
      <c r="V164" s="22"/>
      <c r="W164" s="22"/>
      <c r="X164" s="22"/>
      <c r="Y164" s="22"/>
      <c r="Z164" s="22"/>
      <c r="AA164" s="22"/>
      <c r="AB164" s="22"/>
      <c r="AC164" s="22"/>
      <c r="AD164" s="22"/>
      <c r="AE164" s="22"/>
      <c r="AF164" s="22"/>
      <c r="AG164" s="22"/>
      <c r="AH164" s="22"/>
      <c r="AI164" s="22"/>
      <c r="AJ164" s="22"/>
      <c r="AK164" s="22"/>
      <c r="AL164" s="22"/>
      <c r="AM164" s="22"/>
      <c r="AN164" s="22"/>
      <c r="AO164" s="22"/>
      <c r="AP164" s="22"/>
      <c r="AQ164" s="22"/>
      <c r="AR164" s="22"/>
      <c r="AS164" s="22"/>
      <c r="AT164" s="22"/>
      <c r="AU164" s="22"/>
      <c r="AV164" s="22"/>
      <c r="AW164" s="22"/>
      <c r="AX164" s="22"/>
      <c r="AY164" s="22"/>
      <c r="AZ164" s="22"/>
      <c r="BA164" s="22"/>
      <c r="BB164" s="22"/>
      <c r="BC164" s="22"/>
      <c r="BD164" s="22"/>
      <c r="BE164" s="22"/>
      <c r="BF164" s="22"/>
      <c r="BG164" s="22"/>
      <c r="BH164" s="22"/>
      <c r="BI164" s="22"/>
      <c r="BJ164" s="22"/>
      <c r="BK164" s="22"/>
      <c r="BL164" s="22"/>
      <c r="BM164" s="22"/>
      <c r="BN164" s="22"/>
      <c r="BO164" s="22"/>
      <c r="BP164" s="22"/>
      <c r="BQ164" s="22"/>
      <c r="BR164" s="22"/>
      <c r="BS164" s="22"/>
      <c r="BT164" s="22"/>
      <c r="BU164" s="22"/>
      <c r="BV164" s="22"/>
    </row>
    <row r="165" spans="1:74" s="18" customFormat="1" x14ac:dyDescent="0.2">
      <c r="A165" s="136" t="str">
        <f>IF(F165&lt;&gt;"",1+MAX($A$1:A164),"")</f>
        <v/>
      </c>
      <c r="B165" s="145"/>
      <c r="C165" s="145"/>
      <c r="D165" s="146"/>
      <c r="E165" s="176" t="s">
        <v>55</v>
      </c>
      <c r="F165" s="177"/>
      <c r="G165" s="178"/>
      <c r="H165" s="179">
        <f>ROUNDUP((H161)*5.25/1000,0)</f>
        <v>1</v>
      </c>
      <c r="I165" s="150" t="s">
        <v>56</v>
      </c>
      <c r="J165" s="125"/>
      <c r="K165" s="172"/>
      <c r="L165" s="173"/>
      <c r="M165" s="22"/>
      <c r="N165" s="22"/>
      <c r="O165" s="22"/>
      <c r="P165" s="22"/>
      <c r="Q165" s="22"/>
      <c r="R165" s="22"/>
      <c r="S165" s="22"/>
      <c r="T165" s="22"/>
      <c r="U165" s="22"/>
      <c r="V165" s="22"/>
      <c r="W165" s="22"/>
      <c r="X165" s="22"/>
      <c r="Y165" s="22"/>
      <c r="Z165" s="22"/>
      <c r="AA165" s="22"/>
      <c r="AB165" s="22"/>
      <c r="AC165" s="22"/>
      <c r="AD165" s="22"/>
      <c r="AE165" s="22"/>
      <c r="AF165" s="22"/>
      <c r="AG165" s="22"/>
      <c r="AH165" s="22"/>
      <c r="AI165" s="22"/>
      <c r="AJ165" s="22"/>
      <c r="AK165" s="22"/>
      <c r="AL165" s="22"/>
      <c r="AM165" s="22"/>
      <c r="AN165" s="22"/>
      <c r="AO165" s="22"/>
      <c r="AP165" s="22"/>
      <c r="AQ165" s="22"/>
      <c r="AR165" s="22"/>
      <c r="AS165" s="22"/>
      <c r="AT165" s="22"/>
      <c r="AU165" s="22"/>
      <c r="AV165" s="22"/>
      <c r="AW165" s="22"/>
      <c r="AX165" s="22"/>
      <c r="AY165" s="22"/>
      <c r="AZ165" s="22"/>
      <c r="BA165" s="22"/>
      <c r="BB165" s="22"/>
      <c r="BC165" s="22"/>
      <c r="BD165" s="22"/>
      <c r="BE165" s="22"/>
      <c r="BF165" s="22"/>
      <c r="BG165" s="22"/>
      <c r="BH165" s="22"/>
      <c r="BI165" s="22"/>
      <c r="BJ165" s="22"/>
      <c r="BK165" s="22"/>
      <c r="BL165" s="22"/>
      <c r="BM165" s="22"/>
      <c r="BN165" s="22"/>
      <c r="BO165" s="22"/>
      <c r="BP165" s="22"/>
      <c r="BQ165" s="22"/>
      <c r="BR165" s="22"/>
      <c r="BS165" s="22"/>
      <c r="BT165" s="22"/>
      <c r="BU165" s="22"/>
      <c r="BV165" s="22"/>
    </row>
    <row r="166" spans="1:74" s="18" customFormat="1" x14ac:dyDescent="0.2">
      <c r="A166" s="136">
        <f>IF(F166&lt;&gt;"",1+MAX($A$1:A165),"")</f>
        <v>76</v>
      </c>
      <c r="B166" s="145" t="s">
        <v>135</v>
      </c>
      <c r="C166" s="145"/>
      <c r="D166" s="146"/>
      <c r="E166" s="174" t="s">
        <v>57</v>
      </c>
      <c r="F166" s="154">
        <f>7.8*4</f>
        <v>31.2</v>
      </c>
      <c r="G166" s="96">
        <v>7.0000000000000007E-2</v>
      </c>
      <c r="H166" s="148">
        <f>F166*(1+G166)</f>
        <v>33.384</v>
      </c>
      <c r="I166" s="150" t="s">
        <v>15</v>
      </c>
      <c r="J166" s="125">
        <f>J$145</f>
        <v>0</v>
      </c>
      <c r="K166" s="172">
        <f>J166*H166</f>
        <v>0</v>
      </c>
      <c r="L166" s="173"/>
      <c r="M166" s="22"/>
      <c r="N166" s="22"/>
      <c r="O166" s="22"/>
      <c r="P166" s="22"/>
      <c r="Q166" s="22"/>
      <c r="R166" s="22"/>
      <c r="S166" s="22"/>
      <c r="T166" s="22"/>
      <c r="U166" s="22"/>
      <c r="V166" s="22"/>
      <c r="W166" s="22"/>
      <c r="X166" s="22"/>
      <c r="Y166" s="22"/>
      <c r="Z166" s="22"/>
      <c r="AA166" s="22"/>
      <c r="AB166" s="22"/>
      <c r="AC166" s="22"/>
      <c r="AD166" s="22"/>
      <c r="AE166" s="22"/>
      <c r="AF166" s="22"/>
      <c r="AG166" s="22"/>
      <c r="AH166" s="22"/>
      <c r="AI166" s="22"/>
      <c r="AJ166" s="22"/>
      <c r="AK166" s="22"/>
      <c r="AL166" s="22"/>
      <c r="AM166" s="22"/>
      <c r="AN166" s="22"/>
      <c r="AO166" s="22"/>
      <c r="AP166" s="22"/>
      <c r="AQ166" s="22"/>
      <c r="AR166" s="22"/>
      <c r="AS166" s="22"/>
      <c r="AT166" s="22"/>
      <c r="AU166" s="22"/>
      <c r="AV166" s="22"/>
      <c r="AW166" s="22"/>
      <c r="AX166" s="22"/>
      <c r="AY166" s="22"/>
      <c r="AZ166" s="22"/>
      <c r="BA166" s="22"/>
      <c r="BB166" s="22"/>
      <c r="BC166" s="22"/>
      <c r="BD166" s="22"/>
      <c r="BE166" s="22"/>
      <c r="BF166" s="22"/>
      <c r="BG166" s="22"/>
      <c r="BH166" s="22"/>
      <c r="BI166" s="22"/>
      <c r="BJ166" s="22"/>
      <c r="BK166" s="22"/>
      <c r="BL166" s="22"/>
      <c r="BM166" s="22"/>
      <c r="BN166" s="22"/>
      <c r="BO166" s="22"/>
      <c r="BP166" s="22"/>
      <c r="BQ166" s="22"/>
      <c r="BR166" s="22"/>
      <c r="BS166" s="22"/>
      <c r="BT166" s="22"/>
      <c r="BU166" s="22"/>
      <c r="BV166" s="22"/>
    </row>
    <row r="167" spans="1:74" x14ac:dyDescent="0.2">
      <c r="A167" s="136" t="str">
        <f>IF(F167&lt;&gt;"",1+MAX($A$1:A166),"")</f>
        <v/>
      </c>
      <c r="B167" s="145"/>
      <c r="C167" s="180"/>
      <c r="D167" s="146"/>
      <c r="E167" s="159"/>
      <c r="F167" s="148"/>
      <c r="G167" s="149"/>
      <c r="H167" s="148"/>
      <c r="I167" s="150"/>
      <c r="J167" s="163"/>
      <c r="K167" s="152"/>
      <c r="L167" s="153"/>
    </row>
    <row r="168" spans="1:74" x14ac:dyDescent="0.2">
      <c r="A168" s="136" t="str">
        <f>IF(F168&lt;&gt;"",1+MAX($A$1:A167),"")</f>
        <v/>
      </c>
      <c r="B168" s="145"/>
      <c r="C168" s="180"/>
      <c r="D168" s="146"/>
      <c r="E168" s="147" t="s">
        <v>65</v>
      </c>
      <c r="F168" s="154"/>
      <c r="G168" s="149"/>
      <c r="H168" s="148"/>
      <c r="I168" s="150"/>
      <c r="J168" s="163"/>
      <c r="K168" s="123"/>
      <c r="L168" s="12">
        <f>SUM(K132:K167)</f>
        <v>0</v>
      </c>
    </row>
    <row r="169" spans="1:74" s="16" customFormat="1" ht="18.75" x14ac:dyDescent="0.2">
      <c r="A169" s="136" t="str">
        <f>IF(F169&lt;&gt;"",1+MAX($A$1:A168),"")</f>
        <v/>
      </c>
      <c r="B169" s="137"/>
      <c r="C169" s="181"/>
      <c r="D169" s="138"/>
      <c r="E169" s="139"/>
      <c r="F169" s="140"/>
      <c r="G169" s="96"/>
      <c r="H169" s="141"/>
      <c r="I169" s="142"/>
      <c r="J169" s="155"/>
      <c r="K169" s="97"/>
      <c r="L169" s="144"/>
    </row>
    <row r="170" spans="1:74" x14ac:dyDescent="0.2">
      <c r="A170" s="136" t="str">
        <f>IF(F170&lt;&gt;"",1+MAX($A$1:A169),"")</f>
        <v/>
      </c>
      <c r="B170" s="145"/>
      <c r="C170" s="180"/>
      <c r="D170" s="145"/>
      <c r="E170" s="161" t="s">
        <v>66</v>
      </c>
      <c r="F170" s="154"/>
      <c r="G170" s="149"/>
      <c r="H170" s="148"/>
      <c r="I170" s="150"/>
      <c r="J170" s="21"/>
      <c r="K170" s="162"/>
      <c r="L170" s="160"/>
    </row>
    <row r="171" spans="1:74" s="16" customFormat="1" ht="47.25" x14ac:dyDescent="0.2">
      <c r="A171" s="136">
        <f>IF(F171&lt;&gt;"",1+MAX($A$1:A170),"")</f>
        <v>77</v>
      </c>
      <c r="B171" s="145" t="s">
        <v>135</v>
      </c>
      <c r="C171" s="169"/>
      <c r="D171" s="138"/>
      <c r="E171" s="139" t="s">
        <v>169</v>
      </c>
      <c r="F171" s="140">
        <v>713</v>
      </c>
      <c r="G171" s="96">
        <v>7.0000000000000007E-2</v>
      </c>
      <c r="H171" s="141">
        <f t="shared" ref="H171" si="52">F171*(1+G171)</f>
        <v>762.91000000000008</v>
      </c>
      <c r="I171" s="142" t="s">
        <v>18</v>
      </c>
      <c r="J171" s="155">
        <v>0</v>
      </c>
      <c r="K171" s="97">
        <f t="shared" ref="K171" si="53">J171*H171</f>
        <v>0</v>
      </c>
      <c r="L171" s="144"/>
    </row>
    <row r="172" spans="1:74" x14ac:dyDescent="0.2">
      <c r="A172" s="136" t="str">
        <f>IF(F172&lt;&gt;"",1+MAX($A$1:A171),"")</f>
        <v/>
      </c>
      <c r="B172" s="145"/>
      <c r="C172" s="180"/>
      <c r="D172" s="146"/>
      <c r="E172" s="159"/>
      <c r="F172" s="148"/>
      <c r="G172" s="149"/>
      <c r="H172" s="148"/>
      <c r="I172" s="150"/>
      <c r="J172" s="163"/>
      <c r="K172" s="152"/>
      <c r="L172" s="153"/>
    </row>
    <row r="173" spans="1:74" x14ac:dyDescent="0.2">
      <c r="A173" s="136" t="str">
        <f>IF(F173&lt;&gt;"",1+MAX($A$1:A172),"")</f>
        <v/>
      </c>
      <c r="B173" s="145"/>
      <c r="C173" s="180"/>
      <c r="D173" s="146"/>
      <c r="E173" s="147" t="s">
        <v>67</v>
      </c>
      <c r="F173" s="154"/>
      <c r="G173" s="149"/>
      <c r="H173" s="148"/>
      <c r="I173" s="150"/>
      <c r="J173" s="163"/>
      <c r="K173" s="123"/>
      <c r="L173" s="12">
        <f>SUM(K170:K172)</f>
        <v>0</v>
      </c>
    </row>
    <row r="174" spans="1:74" s="16" customFormat="1" ht="18.75" x14ac:dyDescent="0.2">
      <c r="A174" s="136" t="str">
        <f>IF(F174&lt;&gt;"",1+MAX($A$1:A173),"")</f>
        <v/>
      </c>
      <c r="B174" s="137"/>
      <c r="C174" s="181"/>
      <c r="D174" s="138"/>
      <c r="E174" s="139"/>
      <c r="F174" s="140"/>
      <c r="G174" s="96"/>
      <c r="H174" s="141"/>
      <c r="I174" s="142"/>
      <c r="J174" s="155"/>
      <c r="K174" s="97"/>
      <c r="L174" s="144"/>
    </row>
    <row r="175" spans="1:74" x14ac:dyDescent="0.2">
      <c r="A175" s="136" t="str">
        <f>IF(F175&lt;&gt;"",1+MAX($A$1:A174),"")</f>
        <v/>
      </c>
      <c r="B175" s="145"/>
      <c r="C175" s="180"/>
      <c r="D175" s="145"/>
      <c r="E175" s="161" t="s">
        <v>85</v>
      </c>
      <c r="F175" s="154"/>
      <c r="G175" s="149"/>
      <c r="H175" s="148"/>
      <c r="I175" s="150"/>
      <c r="J175" s="21"/>
      <c r="K175" s="162"/>
      <c r="L175" s="160"/>
    </row>
    <row r="176" spans="1:74" s="15" customFormat="1" ht="18.75" x14ac:dyDescent="0.2">
      <c r="A176" s="136">
        <f>IF(F176&lt;&gt;"",1+MAX($A$1:A175),"")</f>
        <v>78</v>
      </c>
      <c r="B176" s="145" t="s">
        <v>135</v>
      </c>
      <c r="C176" s="169"/>
      <c r="D176" s="138"/>
      <c r="E176" s="139" t="s">
        <v>145</v>
      </c>
      <c r="F176" s="140">
        <f>34.8+4.1*0.5*2</f>
        <v>38.9</v>
      </c>
      <c r="G176" s="96">
        <v>7.0000000000000007E-2</v>
      </c>
      <c r="H176" s="141">
        <f t="shared" ref="H176" si="54">F176*(1+G176)</f>
        <v>41.622999999999998</v>
      </c>
      <c r="I176" s="142" t="s">
        <v>18</v>
      </c>
      <c r="J176" s="155">
        <v>0</v>
      </c>
      <c r="K176" s="97">
        <f>J176*H176</f>
        <v>0</v>
      </c>
      <c r="L176" s="144"/>
      <c r="M176" s="16"/>
      <c r="N176" s="16"/>
      <c r="O176" s="16"/>
      <c r="P176" s="16"/>
      <c r="Q176" s="16"/>
      <c r="R176" s="16"/>
      <c r="S176" s="16"/>
      <c r="T176" s="16"/>
      <c r="U176" s="16"/>
      <c r="V176" s="16"/>
      <c r="W176" s="16"/>
      <c r="X176" s="16"/>
      <c r="Y176" s="16"/>
      <c r="Z176" s="16"/>
      <c r="AA176" s="16"/>
      <c r="AB176" s="16"/>
      <c r="AC176" s="16"/>
      <c r="AD176" s="16"/>
      <c r="AE176" s="16"/>
      <c r="AF176" s="16"/>
      <c r="AG176" s="16"/>
      <c r="AH176" s="16"/>
      <c r="AI176" s="16"/>
      <c r="AJ176" s="16"/>
      <c r="AK176" s="16"/>
      <c r="AL176" s="16"/>
      <c r="AM176" s="16"/>
      <c r="AN176" s="16"/>
      <c r="AO176" s="16"/>
      <c r="AP176" s="16"/>
      <c r="AQ176" s="16"/>
      <c r="AR176" s="16"/>
      <c r="AS176" s="16"/>
      <c r="AT176" s="16"/>
      <c r="AU176" s="16"/>
      <c r="AV176" s="16"/>
      <c r="AW176" s="16"/>
      <c r="AX176" s="16"/>
      <c r="AY176" s="16"/>
      <c r="AZ176" s="16"/>
      <c r="BA176" s="16"/>
      <c r="BB176" s="16"/>
      <c r="BC176" s="16"/>
      <c r="BD176" s="16"/>
      <c r="BE176" s="16"/>
      <c r="BF176" s="16"/>
      <c r="BG176" s="16"/>
      <c r="BH176" s="16"/>
      <c r="BI176" s="16"/>
      <c r="BJ176" s="16"/>
      <c r="BK176" s="16"/>
      <c r="BL176" s="16"/>
      <c r="BM176" s="16"/>
      <c r="BN176" s="16"/>
      <c r="BO176" s="16"/>
      <c r="BP176" s="16"/>
      <c r="BQ176" s="16"/>
      <c r="BR176" s="16"/>
      <c r="BS176" s="16"/>
      <c r="BT176" s="16"/>
      <c r="BU176" s="16"/>
      <c r="BV176" s="16"/>
    </row>
    <row r="177" spans="1:74" s="15" customFormat="1" ht="18.75" x14ac:dyDescent="0.2">
      <c r="A177" s="136">
        <f>IF(F177&lt;&gt;"",1+MAX($A$1:A176),"")</f>
        <v>79</v>
      </c>
      <c r="B177" s="145" t="s">
        <v>135</v>
      </c>
      <c r="C177" s="169"/>
      <c r="D177" s="138"/>
      <c r="E177" s="139" t="s">
        <v>146</v>
      </c>
      <c r="F177" s="140">
        <f>22.7*8+2.7*1.334+2.6*6.67</f>
        <v>202.54379999999998</v>
      </c>
      <c r="G177" s="96">
        <v>7.0000000000000007E-2</v>
      </c>
      <c r="H177" s="141">
        <f t="shared" ref="H177" si="55">F177*(1+G177)</f>
        <v>216.72186599999998</v>
      </c>
      <c r="I177" s="142" t="s">
        <v>18</v>
      </c>
      <c r="J177" s="155">
        <v>0</v>
      </c>
      <c r="K177" s="97">
        <f>J177*H177</f>
        <v>0</v>
      </c>
      <c r="L177" s="144"/>
      <c r="M177" s="16"/>
      <c r="N177" s="16"/>
      <c r="O177" s="16"/>
      <c r="P177" s="16"/>
      <c r="Q177" s="16"/>
      <c r="R177" s="16"/>
      <c r="S177" s="16"/>
      <c r="T177" s="16"/>
      <c r="U177" s="16"/>
      <c r="V177" s="16"/>
      <c r="W177" s="16"/>
      <c r="X177" s="16"/>
      <c r="Y177" s="16"/>
      <c r="Z177" s="16"/>
      <c r="AA177" s="16"/>
      <c r="AB177" s="16"/>
      <c r="AC177" s="16"/>
      <c r="AD177" s="16"/>
      <c r="AE177" s="16"/>
      <c r="AF177" s="16"/>
      <c r="AG177" s="16"/>
      <c r="AH177" s="16"/>
      <c r="AI177" s="16"/>
      <c r="AJ177" s="16"/>
      <c r="AK177" s="16"/>
      <c r="AL177" s="16"/>
      <c r="AM177" s="16"/>
      <c r="AN177" s="16"/>
      <c r="AO177" s="16"/>
      <c r="AP177" s="16"/>
      <c r="AQ177" s="16"/>
      <c r="AR177" s="16"/>
      <c r="AS177" s="16"/>
      <c r="AT177" s="16"/>
      <c r="AU177" s="16"/>
      <c r="AV177" s="16"/>
      <c r="AW177" s="16"/>
      <c r="AX177" s="16"/>
      <c r="AY177" s="16"/>
      <c r="AZ177" s="16"/>
      <c r="BA177" s="16"/>
      <c r="BB177" s="16"/>
      <c r="BC177" s="16"/>
      <c r="BD177" s="16"/>
      <c r="BE177" s="16"/>
      <c r="BF177" s="16"/>
      <c r="BG177" s="16"/>
      <c r="BH177" s="16"/>
      <c r="BI177" s="16"/>
      <c r="BJ177" s="16"/>
      <c r="BK177" s="16"/>
      <c r="BL177" s="16"/>
      <c r="BM177" s="16"/>
      <c r="BN177" s="16"/>
      <c r="BO177" s="16"/>
      <c r="BP177" s="16"/>
      <c r="BQ177" s="16"/>
      <c r="BR177" s="16"/>
      <c r="BS177" s="16"/>
      <c r="BT177" s="16"/>
      <c r="BU177" s="16"/>
      <c r="BV177" s="16"/>
    </row>
    <row r="178" spans="1:74" x14ac:dyDescent="0.2">
      <c r="A178" s="136" t="str">
        <f>IF(F178&lt;&gt;"",1+MAX($A$1:A177),"")</f>
        <v/>
      </c>
      <c r="B178" s="145"/>
      <c r="C178" s="182"/>
      <c r="D178" s="146"/>
      <c r="E178" s="159"/>
      <c r="F178" s="148"/>
      <c r="G178" s="149"/>
      <c r="H178" s="148"/>
      <c r="I178" s="150"/>
      <c r="J178" s="163"/>
      <c r="K178" s="152"/>
      <c r="L178" s="153"/>
    </row>
    <row r="179" spans="1:74" x14ac:dyDescent="0.2">
      <c r="A179" s="136" t="str">
        <f>IF(F179&lt;&gt;"",1+MAX($A$1:A178),"")</f>
        <v/>
      </c>
      <c r="B179" s="145"/>
      <c r="C179" s="182"/>
      <c r="D179" s="146"/>
      <c r="E179" s="147" t="s">
        <v>86</v>
      </c>
      <c r="F179" s="154"/>
      <c r="G179" s="149"/>
      <c r="H179" s="148"/>
      <c r="I179" s="150"/>
      <c r="J179" s="163"/>
      <c r="K179" s="123"/>
      <c r="L179" s="12">
        <f>SUM(K175:K178)</f>
        <v>0</v>
      </c>
    </row>
    <row r="180" spans="1:74" s="16" customFormat="1" ht="18.75" x14ac:dyDescent="0.2">
      <c r="A180" s="136" t="str">
        <f>IF(F180&lt;&gt;"",1+MAX($A$1:A179),"")</f>
        <v/>
      </c>
      <c r="B180" s="137"/>
      <c r="C180" s="169"/>
      <c r="D180" s="138"/>
      <c r="E180" s="139"/>
      <c r="F180" s="140"/>
      <c r="G180" s="96"/>
      <c r="H180" s="141"/>
      <c r="I180" s="142"/>
      <c r="J180" s="155"/>
      <c r="K180" s="97"/>
      <c r="L180" s="144"/>
    </row>
    <row r="181" spans="1:74" x14ac:dyDescent="0.2">
      <c r="A181" s="136" t="str">
        <f>IF(F181&lt;&gt;"",1+MAX($A$1:A180),"")</f>
        <v/>
      </c>
      <c r="B181" s="145"/>
      <c r="C181" s="182"/>
      <c r="D181" s="145"/>
      <c r="E181" s="161" t="s">
        <v>82</v>
      </c>
      <c r="F181" s="154"/>
      <c r="G181" s="149"/>
      <c r="H181" s="148"/>
      <c r="I181" s="150"/>
      <c r="J181" s="21"/>
      <c r="K181" s="162"/>
      <c r="L181" s="160"/>
    </row>
    <row r="182" spans="1:74" s="15" customFormat="1" ht="18.75" x14ac:dyDescent="0.2">
      <c r="A182" s="136">
        <f>IF(F182&lt;&gt;"",1+MAX($A$1:A181),"")</f>
        <v>80</v>
      </c>
      <c r="B182" s="145" t="s">
        <v>135</v>
      </c>
      <c r="C182" s="169"/>
      <c r="D182" s="138"/>
      <c r="E182" s="139" t="s">
        <v>83</v>
      </c>
      <c r="F182" s="140">
        <f>693.6</f>
        <v>693.6</v>
      </c>
      <c r="G182" s="96">
        <v>7.0000000000000007E-2</v>
      </c>
      <c r="H182" s="141">
        <f t="shared" ref="H182" si="56">F182*(1+G182)</f>
        <v>742.15200000000004</v>
      </c>
      <c r="I182" s="142" t="s">
        <v>18</v>
      </c>
      <c r="J182" s="155">
        <v>0</v>
      </c>
      <c r="K182" s="97">
        <f>J182*H182</f>
        <v>0</v>
      </c>
      <c r="L182" s="144"/>
      <c r="M182" s="16"/>
      <c r="N182" s="16"/>
      <c r="O182" s="16"/>
      <c r="P182" s="16"/>
      <c r="Q182" s="16"/>
      <c r="R182" s="16"/>
      <c r="S182" s="16"/>
      <c r="T182" s="16"/>
      <c r="U182" s="16"/>
      <c r="V182" s="16"/>
      <c r="W182" s="16"/>
      <c r="X182" s="16"/>
      <c r="Y182" s="16"/>
      <c r="Z182" s="16"/>
      <c r="AA182" s="16"/>
      <c r="AB182" s="16"/>
      <c r="AC182" s="16"/>
      <c r="AD182" s="16"/>
      <c r="AE182" s="16"/>
      <c r="AF182" s="16"/>
      <c r="AG182" s="16"/>
      <c r="AH182" s="16"/>
      <c r="AI182" s="16"/>
      <c r="AJ182" s="16"/>
      <c r="AK182" s="16"/>
      <c r="AL182" s="16"/>
      <c r="AM182" s="16"/>
      <c r="AN182" s="16"/>
      <c r="AO182" s="16"/>
      <c r="AP182" s="16"/>
      <c r="AQ182" s="16"/>
      <c r="AR182" s="16"/>
      <c r="AS182" s="16"/>
      <c r="AT182" s="16"/>
      <c r="AU182" s="16"/>
      <c r="AV182" s="16"/>
      <c r="AW182" s="16"/>
      <c r="AX182" s="16"/>
      <c r="AY182" s="16"/>
      <c r="AZ182" s="16"/>
      <c r="BA182" s="16"/>
      <c r="BB182" s="16"/>
      <c r="BC182" s="16"/>
      <c r="BD182" s="16"/>
      <c r="BE182" s="16"/>
      <c r="BF182" s="16"/>
      <c r="BG182" s="16"/>
      <c r="BH182" s="16"/>
      <c r="BI182" s="16"/>
      <c r="BJ182" s="16"/>
      <c r="BK182" s="16"/>
      <c r="BL182" s="16"/>
      <c r="BM182" s="16"/>
      <c r="BN182" s="16"/>
      <c r="BO182" s="16"/>
      <c r="BP182" s="16"/>
      <c r="BQ182" s="16"/>
      <c r="BR182" s="16"/>
      <c r="BS182" s="16"/>
      <c r="BT182" s="16"/>
      <c r="BU182" s="16"/>
      <c r="BV182" s="16"/>
    </row>
    <row r="183" spans="1:74" x14ac:dyDescent="0.2">
      <c r="A183" s="136" t="str">
        <f>IF(F183&lt;&gt;"",1+MAX($A$1:A182),"")</f>
        <v/>
      </c>
      <c r="B183" s="145"/>
      <c r="C183" s="180"/>
      <c r="D183" s="146"/>
      <c r="E183" s="159"/>
      <c r="F183" s="148"/>
      <c r="G183" s="149"/>
      <c r="H183" s="148"/>
      <c r="I183" s="150"/>
      <c r="J183" s="163"/>
      <c r="K183" s="152"/>
      <c r="L183" s="153"/>
    </row>
    <row r="184" spans="1:74" x14ac:dyDescent="0.2">
      <c r="A184" s="136" t="str">
        <f>IF(F184&lt;&gt;"",1+MAX($A$1:A183),"")</f>
        <v/>
      </c>
      <c r="B184" s="145"/>
      <c r="C184" s="180"/>
      <c r="D184" s="146"/>
      <c r="E184" s="147" t="s">
        <v>84</v>
      </c>
      <c r="F184" s="154"/>
      <c r="G184" s="149"/>
      <c r="H184" s="148"/>
      <c r="I184" s="150"/>
      <c r="J184" s="163"/>
      <c r="K184" s="123"/>
      <c r="L184" s="12">
        <f>SUM(K181:K183)</f>
        <v>0</v>
      </c>
    </row>
    <row r="185" spans="1:74" s="16" customFormat="1" ht="18.75" x14ac:dyDescent="0.2">
      <c r="A185" s="136" t="str">
        <f>IF(F185&lt;&gt;"",1+MAX($A$1:A184),"")</f>
        <v/>
      </c>
      <c r="B185" s="137"/>
      <c r="C185" s="181"/>
      <c r="D185" s="138"/>
      <c r="E185" s="139"/>
      <c r="F185" s="140"/>
      <c r="G185" s="96"/>
      <c r="H185" s="141"/>
      <c r="I185" s="142"/>
      <c r="J185" s="155"/>
      <c r="K185" s="97"/>
      <c r="L185" s="144"/>
    </row>
    <row r="186" spans="1:74" x14ac:dyDescent="0.2">
      <c r="A186" s="136" t="str">
        <f>IF(F186&lt;&gt;"",1+MAX($A$1:A185),"")</f>
        <v/>
      </c>
      <c r="B186" s="145"/>
      <c r="C186" s="180"/>
      <c r="D186" s="145"/>
      <c r="E186" s="161" t="s">
        <v>171</v>
      </c>
      <c r="F186" s="154"/>
      <c r="G186" s="149"/>
      <c r="H186" s="148"/>
      <c r="I186" s="150"/>
      <c r="J186" s="21"/>
      <c r="K186" s="162"/>
      <c r="L186" s="160"/>
    </row>
    <row r="187" spans="1:74" s="15" customFormat="1" ht="18.75" x14ac:dyDescent="0.2">
      <c r="A187" s="136">
        <f>IF(F187&lt;&gt;"",1+MAX($A$1:A186),"")</f>
        <v>81</v>
      </c>
      <c r="B187" s="145" t="s">
        <v>135</v>
      </c>
      <c r="C187" s="169"/>
      <c r="D187" s="138"/>
      <c r="E187" s="139" t="s">
        <v>123</v>
      </c>
      <c r="F187" s="140">
        <f>236-2.334-2.67</f>
        <v>230.99600000000001</v>
      </c>
      <c r="G187" s="96">
        <v>7.0000000000000007E-2</v>
      </c>
      <c r="H187" s="141">
        <f t="shared" ref="H187" si="57">F187*(1+G187)</f>
        <v>247.16572000000002</v>
      </c>
      <c r="I187" s="142" t="s">
        <v>15</v>
      </c>
      <c r="J187" s="155">
        <v>0</v>
      </c>
      <c r="K187" s="97">
        <f>J187*H187</f>
        <v>0</v>
      </c>
      <c r="L187" s="144"/>
      <c r="M187" s="16"/>
      <c r="N187" s="16"/>
      <c r="O187" s="16"/>
      <c r="P187" s="16"/>
      <c r="Q187" s="16"/>
      <c r="R187" s="16"/>
      <c r="S187" s="16"/>
      <c r="T187" s="16"/>
      <c r="U187" s="16"/>
      <c r="V187" s="16"/>
      <c r="W187" s="16"/>
      <c r="X187" s="16"/>
      <c r="Y187" s="16"/>
      <c r="Z187" s="16"/>
      <c r="AA187" s="16"/>
      <c r="AB187" s="16"/>
      <c r="AC187" s="16"/>
      <c r="AD187" s="16"/>
      <c r="AE187" s="16"/>
      <c r="AF187" s="16"/>
      <c r="AG187" s="16"/>
      <c r="AH187" s="16"/>
      <c r="AI187" s="16"/>
      <c r="AJ187" s="16"/>
      <c r="AK187" s="16"/>
      <c r="AL187" s="16"/>
      <c r="AM187" s="16"/>
      <c r="AN187" s="16"/>
      <c r="AO187" s="16"/>
      <c r="AP187" s="16"/>
      <c r="AQ187" s="16"/>
      <c r="AR187" s="16"/>
      <c r="AS187" s="16"/>
      <c r="AT187" s="16"/>
      <c r="AU187" s="16"/>
      <c r="AV187" s="16"/>
      <c r="AW187" s="16"/>
      <c r="AX187" s="16"/>
      <c r="AY187" s="16"/>
      <c r="AZ187" s="16"/>
      <c r="BA187" s="16"/>
      <c r="BB187" s="16"/>
      <c r="BC187" s="16"/>
      <c r="BD187" s="16"/>
      <c r="BE187" s="16"/>
      <c r="BF187" s="16"/>
      <c r="BG187" s="16"/>
      <c r="BH187" s="16"/>
      <c r="BI187" s="16"/>
      <c r="BJ187" s="16"/>
      <c r="BK187" s="16"/>
      <c r="BL187" s="16"/>
      <c r="BM187" s="16"/>
      <c r="BN187" s="16"/>
      <c r="BO187" s="16"/>
      <c r="BP187" s="16"/>
      <c r="BQ187" s="16"/>
      <c r="BR187" s="16"/>
      <c r="BS187" s="16"/>
      <c r="BT187" s="16"/>
      <c r="BU187" s="16"/>
      <c r="BV187" s="16"/>
    </row>
    <row r="188" spans="1:74" x14ac:dyDescent="0.2">
      <c r="A188" s="136" t="str">
        <f>IF(F188&lt;&gt;"",1+MAX($A$1:A187),"")</f>
        <v/>
      </c>
      <c r="B188" s="145"/>
      <c r="C188" s="180"/>
      <c r="D188" s="146"/>
      <c r="E188" s="159" t="s">
        <v>115</v>
      </c>
      <c r="F188" s="148"/>
      <c r="G188" s="149"/>
      <c r="H188" s="148"/>
      <c r="I188" s="150"/>
      <c r="J188" s="163"/>
      <c r="K188" s="152"/>
      <c r="L188" s="153"/>
    </row>
    <row r="189" spans="1:74" x14ac:dyDescent="0.2">
      <c r="A189" s="136" t="str">
        <f>IF(F189&lt;&gt;"",1+MAX($A$1:A188),"")</f>
        <v/>
      </c>
      <c r="B189" s="145"/>
      <c r="C189" s="180"/>
      <c r="D189" s="146"/>
      <c r="E189" s="147" t="s">
        <v>170</v>
      </c>
      <c r="F189" s="154"/>
      <c r="G189" s="149"/>
      <c r="H189" s="148"/>
      <c r="I189" s="150"/>
      <c r="J189" s="163"/>
      <c r="K189" s="123"/>
      <c r="L189" s="12">
        <f>SUM(K186:K188)</f>
        <v>0</v>
      </c>
    </row>
    <row r="190" spans="1:74" s="16" customFormat="1" ht="18.75" x14ac:dyDescent="0.2">
      <c r="A190" s="136" t="str">
        <f>IF(F190&lt;&gt;"",1+MAX($A$1:A189),"")</f>
        <v/>
      </c>
      <c r="B190" s="137"/>
      <c r="C190" s="181"/>
      <c r="D190" s="138"/>
      <c r="E190" s="139"/>
      <c r="F190" s="140"/>
      <c r="G190" s="96"/>
      <c r="H190" s="141"/>
      <c r="I190" s="142"/>
      <c r="J190" s="155"/>
      <c r="K190" s="97"/>
      <c r="L190" s="144"/>
    </row>
    <row r="191" spans="1:74" x14ac:dyDescent="0.2">
      <c r="A191" s="136" t="str">
        <f>IF(F191&lt;&gt;"",1+MAX($A$1:A190),"")</f>
        <v/>
      </c>
      <c r="B191" s="145"/>
      <c r="C191" s="180"/>
      <c r="D191" s="145"/>
      <c r="E191" s="161" t="s">
        <v>147</v>
      </c>
      <c r="F191" s="154"/>
      <c r="G191" s="149"/>
      <c r="H191" s="148"/>
      <c r="I191" s="150"/>
      <c r="J191" s="21"/>
      <c r="K191" s="162"/>
      <c r="L191" s="160"/>
    </row>
    <row r="192" spans="1:74" s="15" customFormat="1" ht="18.75" x14ac:dyDescent="0.2">
      <c r="A192" s="136">
        <f>IF(F192&lt;&gt;"",1+MAX($A$1:A191),"")</f>
        <v>82</v>
      </c>
      <c r="B192" s="145" t="s">
        <v>135</v>
      </c>
      <c r="C192" s="169"/>
      <c r="D192" s="138"/>
      <c r="E192" s="139" t="s">
        <v>148</v>
      </c>
      <c r="F192" s="140">
        <v>2.7</v>
      </c>
      <c r="G192" s="96">
        <v>7.0000000000000007E-2</v>
      </c>
      <c r="H192" s="141">
        <f t="shared" ref="H192" si="58">F192*(1+G192)</f>
        <v>2.8890000000000002</v>
      </c>
      <c r="I192" s="142" t="s">
        <v>15</v>
      </c>
      <c r="J192" s="155">
        <v>0</v>
      </c>
      <c r="K192" s="97">
        <f>J192*H192</f>
        <v>0</v>
      </c>
      <c r="L192" s="144"/>
      <c r="M192" s="16"/>
      <c r="N192" s="16"/>
      <c r="O192" s="16"/>
      <c r="P192" s="16"/>
      <c r="Q192" s="16"/>
      <c r="R192" s="16"/>
      <c r="S192" s="16"/>
      <c r="T192" s="16"/>
      <c r="U192" s="16"/>
      <c r="V192" s="16"/>
      <c r="W192" s="16"/>
      <c r="X192" s="16"/>
      <c r="Y192" s="16"/>
      <c r="Z192" s="16"/>
      <c r="AA192" s="16"/>
      <c r="AB192" s="16"/>
      <c r="AC192" s="16"/>
      <c r="AD192" s="16"/>
      <c r="AE192" s="16"/>
      <c r="AF192" s="16"/>
      <c r="AG192" s="16"/>
      <c r="AH192" s="16"/>
      <c r="AI192" s="16"/>
      <c r="AJ192" s="16"/>
      <c r="AK192" s="16"/>
      <c r="AL192" s="16"/>
      <c r="AM192" s="16"/>
      <c r="AN192" s="16"/>
      <c r="AO192" s="16"/>
      <c r="AP192" s="16"/>
      <c r="AQ192" s="16"/>
      <c r="AR192" s="16"/>
      <c r="AS192" s="16"/>
      <c r="AT192" s="16"/>
      <c r="AU192" s="16"/>
      <c r="AV192" s="16"/>
      <c r="AW192" s="16"/>
      <c r="AX192" s="16"/>
      <c r="AY192" s="16"/>
      <c r="AZ192" s="16"/>
      <c r="BA192" s="16"/>
      <c r="BB192" s="16"/>
      <c r="BC192" s="16"/>
      <c r="BD192" s="16"/>
      <c r="BE192" s="16"/>
      <c r="BF192" s="16"/>
      <c r="BG192" s="16"/>
      <c r="BH192" s="16"/>
      <c r="BI192" s="16"/>
      <c r="BJ192" s="16"/>
      <c r="BK192" s="16"/>
      <c r="BL192" s="16"/>
      <c r="BM192" s="16"/>
      <c r="BN192" s="16"/>
      <c r="BO192" s="16"/>
      <c r="BP192" s="16"/>
      <c r="BQ192" s="16"/>
      <c r="BR192" s="16"/>
      <c r="BS192" s="16"/>
      <c r="BT192" s="16"/>
      <c r="BU192" s="16"/>
      <c r="BV192" s="16"/>
    </row>
    <row r="193" spans="1:74" x14ac:dyDescent="0.2">
      <c r="A193" s="136" t="str">
        <f>IF(F193&lt;&gt;"",1+MAX($A$1:A192),"")</f>
        <v/>
      </c>
      <c r="B193" s="145"/>
      <c r="C193" s="180"/>
      <c r="D193" s="146"/>
      <c r="E193" s="159" t="s">
        <v>115</v>
      </c>
      <c r="F193" s="148"/>
      <c r="G193" s="149"/>
      <c r="H193" s="148"/>
      <c r="I193" s="150"/>
      <c r="J193" s="163"/>
      <c r="K193" s="152"/>
      <c r="L193" s="153"/>
    </row>
    <row r="194" spans="1:74" x14ac:dyDescent="0.2">
      <c r="A194" s="136" t="str">
        <f>IF(F194&lt;&gt;"",1+MAX($A$1:A193),"")</f>
        <v/>
      </c>
      <c r="B194" s="145"/>
      <c r="C194" s="180"/>
      <c r="D194" s="146"/>
      <c r="E194" s="147" t="s">
        <v>149</v>
      </c>
      <c r="F194" s="154"/>
      <c r="G194" s="149"/>
      <c r="H194" s="148"/>
      <c r="I194" s="150"/>
      <c r="J194" s="163"/>
      <c r="K194" s="123"/>
      <c r="L194" s="12">
        <f>SUM(K191:K193)</f>
        <v>0</v>
      </c>
    </row>
    <row r="195" spans="1:74" s="16" customFormat="1" ht="18.75" x14ac:dyDescent="0.2">
      <c r="A195" s="136" t="str">
        <f>IF(F195&lt;&gt;"",1+MAX($A$1:A194),"")</f>
        <v/>
      </c>
      <c r="B195" s="137"/>
      <c r="C195" s="181"/>
      <c r="D195" s="138"/>
      <c r="E195" s="139"/>
      <c r="F195" s="140"/>
      <c r="G195" s="96"/>
      <c r="H195" s="141"/>
      <c r="I195" s="142"/>
      <c r="J195" s="155"/>
      <c r="K195" s="97"/>
      <c r="L195" s="144"/>
    </row>
    <row r="196" spans="1:74" x14ac:dyDescent="0.2">
      <c r="A196" s="136" t="str">
        <f>IF(F196&lt;&gt;"",1+MAX($A$1:A195),"")</f>
        <v/>
      </c>
      <c r="B196" s="145"/>
      <c r="C196" s="180"/>
      <c r="D196" s="145"/>
      <c r="E196" s="161" t="s">
        <v>150</v>
      </c>
      <c r="F196" s="154"/>
      <c r="G196" s="149"/>
      <c r="H196" s="148"/>
      <c r="I196" s="150"/>
      <c r="J196" s="21"/>
      <c r="K196" s="162"/>
      <c r="L196" s="160"/>
    </row>
    <row r="197" spans="1:74" s="15" customFormat="1" ht="18.75" x14ac:dyDescent="0.2">
      <c r="A197" s="136">
        <f>IF(F197&lt;&gt;"",1+MAX($A$1:A196),"")</f>
        <v>83</v>
      </c>
      <c r="B197" s="145" t="s">
        <v>135</v>
      </c>
      <c r="C197" s="169"/>
      <c r="D197" s="138"/>
      <c r="E197" s="139" t="s">
        <v>151</v>
      </c>
      <c r="F197" s="140">
        <f>52.3*8+155.9*8.167</f>
        <v>1691.6352999999999</v>
      </c>
      <c r="G197" s="96">
        <v>7.0000000000000007E-2</v>
      </c>
      <c r="H197" s="141">
        <f t="shared" ref="H197:H198" si="59">F197*(1+G197)</f>
        <v>1810.049771</v>
      </c>
      <c r="I197" s="142" t="s">
        <v>18</v>
      </c>
      <c r="J197" s="155">
        <v>0</v>
      </c>
      <c r="K197" s="97">
        <f>J197*H197</f>
        <v>0</v>
      </c>
      <c r="L197" s="144"/>
      <c r="M197" s="16"/>
      <c r="N197" s="16"/>
      <c r="O197" s="16"/>
      <c r="P197" s="16"/>
      <c r="Q197" s="16"/>
      <c r="R197" s="16"/>
      <c r="S197" s="16"/>
      <c r="T197" s="16"/>
      <c r="U197" s="16"/>
      <c r="V197" s="16"/>
      <c r="W197" s="16"/>
      <c r="X197" s="16"/>
      <c r="Y197" s="16"/>
      <c r="Z197" s="16"/>
      <c r="AA197" s="16"/>
      <c r="AB197" s="16"/>
      <c r="AC197" s="16"/>
      <c r="AD197" s="16"/>
      <c r="AE197" s="16"/>
      <c r="AF197" s="16"/>
      <c r="AG197" s="16"/>
      <c r="AH197" s="16"/>
      <c r="AI197" s="16"/>
      <c r="AJ197" s="16"/>
      <c r="AK197" s="16"/>
      <c r="AL197" s="16"/>
      <c r="AM197" s="16"/>
      <c r="AN197" s="16"/>
      <c r="AO197" s="16"/>
      <c r="AP197" s="16"/>
      <c r="AQ197" s="16"/>
      <c r="AR197" s="16"/>
      <c r="AS197" s="16"/>
      <c r="AT197" s="16"/>
      <c r="AU197" s="16"/>
      <c r="AV197" s="16"/>
      <c r="AW197" s="16"/>
      <c r="AX197" s="16"/>
      <c r="AY197" s="16"/>
      <c r="AZ197" s="16"/>
      <c r="BA197" s="16"/>
      <c r="BB197" s="16"/>
      <c r="BC197" s="16"/>
      <c r="BD197" s="16"/>
      <c r="BE197" s="16"/>
      <c r="BF197" s="16"/>
      <c r="BG197" s="16"/>
      <c r="BH197" s="16"/>
      <c r="BI197" s="16"/>
      <c r="BJ197" s="16"/>
      <c r="BK197" s="16"/>
      <c r="BL197" s="16"/>
      <c r="BM197" s="16"/>
      <c r="BN197" s="16"/>
      <c r="BO197" s="16"/>
      <c r="BP197" s="16"/>
      <c r="BQ197" s="16"/>
      <c r="BR197" s="16"/>
      <c r="BS197" s="16"/>
      <c r="BT197" s="16"/>
      <c r="BU197" s="16"/>
      <c r="BV197" s="16"/>
    </row>
    <row r="198" spans="1:74" s="15" customFormat="1" ht="18.75" x14ac:dyDescent="0.2">
      <c r="A198" s="136">
        <f>IF(F198&lt;&gt;"",1+MAX($A$1:A197),"")</f>
        <v>84</v>
      </c>
      <c r="B198" s="145" t="s">
        <v>135</v>
      </c>
      <c r="C198" s="169"/>
      <c r="D198" s="138"/>
      <c r="E198" s="139" t="s">
        <v>152</v>
      </c>
      <c r="F198" s="140">
        <f>635.2</f>
        <v>635.20000000000005</v>
      </c>
      <c r="G198" s="96">
        <v>7.0000000000000007E-2</v>
      </c>
      <c r="H198" s="141">
        <f t="shared" si="59"/>
        <v>679.6640000000001</v>
      </c>
      <c r="I198" s="142" t="s">
        <v>18</v>
      </c>
      <c r="J198" s="155">
        <v>0</v>
      </c>
      <c r="K198" s="97">
        <f>J198*H198</f>
        <v>0</v>
      </c>
      <c r="L198" s="144"/>
      <c r="M198" s="16"/>
      <c r="N198" s="16"/>
      <c r="O198" s="16"/>
      <c r="P198" s="16"/>
      <c r="Q198" s="16"/>
      <c r="R198" s="16"/>
      <c r="S198" s="16"/>
      <c r="T198" s="16"/>
      <c r="U198" s="16"/>
      <c r="V198" s="16"/>
      <c r="W198" s="16"/>
      <c r="X198" s="16"/>
      <c r="Y198" s="16"/>
      <c r="Z198" s="16"/>
      <c r="AA198" s="16"/>
      <c r="AB198" s="16"/>
      <c r="AC198" s="16"/>
      <c r="AD198" s="16"/>
      <c r="AE198" s="16"/>
      <c r="AF198" s="16"/>
      <c r="AG198" s="16"/>
      <c r="AH198" s="16"/>
      <c r="AI198" s="16"/>
      <c r="AJ198" s="16"/>
      <c r="AK198" s="16"/>
      <c r="AL198" s="16"/>
      <c r="AM198" s="16"/>
      <c r="AN198" s="16"/>
      <c r="AO198" s="16"/>
      <c r="AP198" s="16"/>
      <c r="AQ198" s="16"/>
      <c r="AR198" s="16"/>
      <c r="AS198" s="16"/>
      <c r="AT198" s="16"/>
      <c r="AU198" s="16"/>
      <c r="AV198" s="16"/>
      <c r="AW198" s="16"/>
      <c r="AX198" s="16"/>
      <c r="AY198" s="16"/>
      <c r="AZ198" s="16"/>
      <c r="BA198" s="16"/>
      <c r="BB198" s="16"/>
      <c r="BC198" s="16"/>
      <c r="BD198" s="16"/>
      <c r="BE198" s="16"/>
      <c r="BF198" s="16"/>
      <c r="BG198" s="16"/>
      <c r="BH198" s="16"/>
      <c r="BI198" s="16"/>
      <c r="BJ198" s="16"/>
      <c r="BK198" s="16"/>
      <c r="BL198" s="16"/>
      <c r="BM198" s="16"/>
      <c r="BN198" s="16"/>
      <c r="BO198" s="16"/>
      <c r="BP198" s="16"/>
      <c r="BQ198" s="16"/>
      <c r="BR198" s="16"/>
      <c r="BS198" s="16"/>
      <c r="BT198" s="16"/>
      <c r="BU198" s="16"/>
      <c r="BV198" s="16"/>
    </row>
    <row r="199" spans="1:74" s="15" customFormat="1" ht="18.75" x14ac:dyDescent="0.2">
      <c r="A199" s="136">
        <f>IF(F199&lt;&gt;"",1+MAX($A$1:A198),"")</f>
        <v>85</v>
      </c>
      <c r="B199" s="145" t="s">
        <v>135</v>
      </c>
      <c r="C199" s="169"/>
      <c r="D199" s="138"/>
      <c r="E199" s="139" t="s">
        <v>153</v>
      </c>
      <c r="F199" s="140">
        <v>635.20000000000005</v>
      </c>
      <c r="G199" s="96">
        <v>7.0000000000000007E-2</v>
      </c>
      <c r="H199" s="141">
        <f t="shared" ref="H199" si="60">F199*(1+G199)</f>
        <v>679.6640000000001</v>
      </c>
      <c r="I199" s="142" t="s">
        <v>18</v>
      </c>
      <c r="J199" s="155">
        <v>0</v>
      </c>
      <c r="K199" s="97">
        <f>J199*H199</f>
        <v>0</v>
      </c>
      <c r="L199" s="144"/>
      <c r="M199" s="16"/>
      <c r="N199" s="16"/>
      <c r="O199" s="16"/>
      <c r="P199" s="16"/>
      <c r="Q199" s="16"/>
      <c r="R199" s="16"/>
      <c r="S199" s="16"/>
      <c r="T199" s="16"/>
      <c r="U199" s="16"/>
      <c r="V199" s="16"/>
      <c r="W199" s="16"/>
      <c r="X199" s="16"/>
      <c r="Y199" s="16"/>
      <c r="Z199" s="16"/>
      <c r="AA199" s="16"/>
      <c r="AB199" s="16"/>
      <c r="AC199" s="16"/>
      <c r="AD199" s="16"/>
      <c r="AE199" s="16"/>
      <c r="AF199" s="16"/>
      <c r="AG199" s="16"/>
      <c r="AH199" s="16"/>
      <c r="AI199" s="16"/>
      <c r="AJ199" s="16"/>
      <c r="AK199" s="16"/>
      <c r="AL199" s="16"/>
      <c r="AM199" s="16"/>
      <c r="AN199" s="16"/>
      <c r="AO199" s="16"/>
      <c r="AP199" s="16"/>
      <c r="AQ199" s="16"/>
      <c r="AR199" s="16"/>
      <c r="AS199" s="16"/>
      <c r="AT199" s="16"/>
      <c r="AU199" s="16"/>
      <c r="AV199" s="16"/>
      <c r="AW199" s="16"/>
      <c r="AX199" s="16"/>
      <c r="AY199" s="16"/>
      <c r="AZ199" s="16"/>
      <c r="BA199" s="16"/>
      <c r="BB199" s="16"/>
      <c r="BC199" s="16"/>
      <c r="BD199" s="16"/>
      <c r="BE199" s="16"/>
      <c r="BF199" s="16"/>
      <c r="BG199" s="16"/>
      <c r="BH199" s="16"/>
      <c r="BI199" s="16"/>
      <c r="BJ199" s="16"/>
      <c r="BK199" s="16"/>
      <c r="BL199" s="16"/>
      <c r="BM199" s="16"/>
      <c r="BN199" s="16"/>
      <c r="BO199" s="16"/>
      <c r="BP199" s="16"/>
      <c r="BQ199" s="16"/>
      <c r="BR199" s="16"/>
      <c r="BS199" s="16"/>
      <c r="BT199" s="16"/>
      <c r="BU199" s="16"/>
      <c r="BV199" s="16"/>
    </row>
    <row r="200" spans="1:74" x14ac:dyDescent="0.2">
      <c r="A200" s="136" t="str">
        <f>IF(F200&lt;&gt;"",1+MAX($A$1:A199),"")</f>
        <v/>
      </c>
      <c r="B200" s="145"/>
      <c r="C200" s="180"/>
      <c r="D200" s="146"/>
      <c r="E200" s="159" t="s">
        <v>115</v>
      </c>
      <c r="F200" s="148"/>
      <c r="G200" s="149"/>
      <c r="H200" s="148"/>
      <c r="I200" s="150"/>
      <c r="J200" s="163"/>
      <c r="K200" s="152"/>
      <c r="L200" s="153"/>
    </row>
    <row r="201" spans="1:74" x14ac:dyDescent="0.2">
      <c r="A201" s="136" t="str">
        <f>IF(F201&lt;&gt;"",1+MAX($A$1:A200),"")</f>
        <v/>
      </c>
      <c r="B201" s="145"/>
      <c r="C201" s="180"/>
      <c r="D201" s="146"/>
      <c r="E201" s="147" t="s">
        <v>219</v>
      </c>
      <c r="F201" s="154"/>
      <c r="G201" s="149"/>
      <c r="H201" s="148"/>
      <c r="I201" s="150"/>
      <c r="J201" s="163"/>
      <c r="K201" s="123"/>
      <c r="L201" s="12">
        <f>SUM(K196:K200)</f>
        <v>0</v>
      </c>
    </row>
    <row r="202" spans="1:74" s="16" customFormat="1" ht="18.75" x14ac:dyDescent="0.2">
      <c r="A202" s="136" t="str">
        <f>IF(F202&lt;&gt;"",1+MAX($A$1:A201),"")</f>
        <v/>
      </c>
      <c r="B202" s="137"/>
      <c r="C202" s="181"/>
      <c r="D202" s="138"/>
      <c r="E202" s="139"/>
      <c r="F202" s="140"/>
      <c r="G202" s="96"/>
      <c r="H202" s="141"/>
      <c r="I202" s="142"/>
      <c r="J202" s="155"/>
      <c r="K202" s="97"/>
      <c r="L202" s="144"/>
    </row>
    <row r="203" spans="1:74" x14ac:dyDescent="0.2">
      <c r="A203" s="136" t="str">
        <f>IF(F203&lt;&gt;"",1+MAX($A$1:A202),"")</f>
        <v/>
      </c>
      <c r="B203" s="145"/>
      <c r="C203" s="180"/>
      <c r="D203" s="145"/>
      <c r="E203" s="161" t="s">
        <v>45</v>
      </c>
      <c r="F203" s="154"/>
      <c r="G203" s="149"/>
      <c r="H203" s="148"/>
      <c r="I203" s="150"/>
      <c r="J203" s="21"/>
      <c r="K203" s="162"/>
      <c r="L203" s="160"/>
    </row>
    <row r="204" spans="1:74" x14ac:dyDescent="0.2">
      <c r="A204" s="136" t="str">
        <f>IF(F204&lt;&gt;"",1+MAX($A$1:A203),"")</f>
        <v/>
      </c>
      <c r="B204" s="145"/>
      <c r="C204" s="180"/>
      <c r="D204" s="146"/>
      <c r="E204" s="171" t="s">
        <v>46</v>
      </c>
      <c r="F204" s="154"/>
      <c r="G204" s="149"/>
      <c r="H204" s="148"/>
      <c r="I204" s="150"/>
      <c r="J204" s="163"/>
      <c r="K204" s="97"/>
      <c r="L204" s="153"/>
    </row>
    <row r="205" spans="1:74" x14ac:dyDescent="0.2">
      <c r="A205" s="136">
        <f>IF(F205&lt;&gt;"",1+MAX($A$1:A204),"")</f>
        <v>86</v>
      </c>
      <c r="B205" s="145" t="s">
        <v>135</v>
      </c>
      <c r="C205" s="181"/>
      <c r="D205" s="146"/>
      <c r="E205" s="174" t="s">
        <v>96</v>
      </c>
      <c r="F205" s="154">
        <f>4909-203</f>
        <v>4706</v>
      </c>
      <c r="G205" s="96">
        <v>7.0000000000000007E-2</v>
      </c>
      <c r="H205" s="148">
        <f t="shared" ref="H205" si="61">F205*(1+G205)</f>
        <v>5035.42</v>
      </c>
      <c r="I205" s="150" t="s">
        <v>18</v>
      </c>
      <c r="J205" s="155">
        <v>0</v>
      </c>
      <c r="K205" s="97">
        <f t="shared" ref="K205" si="62">J205*H205</f>
        <v>0</v>
      </c>
      <c r="L205" s="153"/>
    </row>
    <row r="206" spans="1:74" x14ac:dyDescent="0.2">
      <c r="A206" s="136" t="str">
        <f>IF(F206&lt;&gt;"",1+MAX($A$1:A205),"")</f>
        <v/>
      </c>
      <c r="B206" s="145"/>
      <c r="C206" s="180"/>
      <c r="D206" s="146"/>
      <c r="E206" s="171" t="s">
        <v>47</v>
      </c>
      <c r="F206" s="154"/>
      <c r="G206" s="149"/>
      <c r="H206" s="148"/>
      <c r="I206" s="150"/>
      <c r="J206" s="163"/>
      <c r="K206" s="97"/>
      <c r="L206" s="153"/>
    </row>
    <row r="207" spans="1:74" x14ac:dyDescent="0.2">
      <c r="A207" s="136">
        <f>IF(F207&lt;&gt;"",1+MAX($A$1:A206),"")</f>
        <v>87</v>
      </c>
      <c r="B207" s="145" t="s">
        <v>135</v>
      </c>
      <c r="C207" s="181"/>
      <c r="D207" s="146"/>
      <c r="E207" s="174" t="s">
        <v>92</v>
      </c>
      <c r="F207" s="140">
        <v>1348</v>
      </c>
      <c r="G207" s="96">
        <v>7.0000000000000007E-2</v>
      </c>
      <c r="H207" s="148">
        <f t="shared" ref="H207" si="63">F207*(1+G207)</f>
        <v>1442.3600000000001</v>
      </c>
      <c r="I207" s="150" t="s">
        <v>18</v>
      </c>
      <c r="J207" s="155">
        <v>0</v>
      </c>
      <c r="K207" s="97">
        <f t="shared" ref="K207" si="64">J207*H207</f>
        <v>0</v>
      </c>
      <c r="L207" s="153"/>
    </row>
    <row r="208" spans="1:74" x14ac:dyDescent="0.2">
      <c r="A208" s="136" t="str">
        <f>IF(F208&lt;&gt;"",1+MAX($A$1:A207),"")</f>
        <v/>
      </c>
      <c r="B208" s="145"/>
      <c r="C208" s="180"/>
      <c r="D208" s="146"/>
      <c r="E208" s="171" t="s">
        <v>93</v>
      </c>
      <c r="F208" s="154"/>
      <c r="G208" s="149"/>
      <c r="H208" s="148"/>
      <c r="I208" s="150"/>
      <c r="J208" s="163"/>
      <c r="K208" s="97"/>
      <c r="L208" s="153"/>
    </row>
    <row r="209" spans="1:74" s="15" customFormat="1" ht="18.75" x14ac:dyDescent="0.2">
      <c r="A209" s="136">
        <f>IF(F209&lt;&gt;"",1+MAX($A$1:A208),"")</f>
        <v>88</v>
      </c>
      <c r="B209" s="145" t="s">
        <v>135</v>
      </c>
      <c r="C209" s="181"/>
      <c r="D209" s="138"/>
      <c r="E209" s="174" t="s">
        <v>94</v>
      </c>
      <c r="F209" s="140">
        <v>6</v>
      </c>
      <c r="G209" s="96">
        <v>0</v>
      </c>
      <c r="H209" s="141">
        <f>F209*(1+G209)</f>
        <v>6</v>
      </c>
      <c r="I209" s="142" t="s">
        <v>20</v>
      </c>
      <c r="J209" s="155">
        <v>0</v>
      </c>
      <c r="K209" s="97">
        <f>J209*H209</f>
        <v>0</v>
      </c>
      <c r="L209" s="144"/>
      <c r="M209" s="16"/>
      <c r="N209" s="16"/>
      <c r="O209" s="16"/>
      <c r="P209" s="16"/>
      <c r="Q209" s="16"/>
      <c r="R209" s="16"/>
      <c r="S209" s="16"/>
      <c r="T209" s="16"/>
      <c r="U209" s="16"/>
      <c r="V209" s="16"/>
      <c r="W209" s="16"/>
      <c r="X209" s="16"/>
      <c r="Y209" s="16"/>
      <c r="Z209" s="16"/>
      <c r="AA209" s="16"/>
      <c r="AB209" s="16"/>
      <c r="AC209" s="16"/>
      <c r="AD209" s="16"/>
      <c r="AE209" s="16"/>
      <c r="AF209" s="16"/>
      <c r="AG209" s="16"/>
      <c r="AH209" s="16"/>
      <c r="AI209" s="16"/>
      <c r="AJ209" s="16"/>
      <c r="AK209" s="16"/>
      <c r="AL209" s="16"/>
      <c r="AM209" s="16"/>
      <c r="AN209" s="16"/>
      <c r="AO209" s="16"/>
      <c r="AP209" s="16"/>
      <c r="AQ209" s="16"/>
      <c r="AR209" s="16"/>
      <c r="AS209" s="16"/>
      <c r="AT209" s="16"/>
      <c r="AU209" s="16"/>
      <c r="AV209" s="16"/>
      <c r="AW209" s="16"/>
      <c r="AX209" s="16"/>
      <c r="AY209" s="16"/>
      <c r="AZ209" s="16"/>
      <c r="BA209" s="16"/>
      <c r="BB209" s="16"/>
      <c r="BC209" s="16"/>
      <c r="BD209" s="16"/>
      <c r="BE209" s="16"/>
      <c r="BF209" s="16"/>
      <c r="BG209" s="16"/>
      <c r="BH209" s="16"/>
      <c r="BI209" s="16"/>
      <c r="BJ209" s="16"/>
      <c r="BK209" s="16"/>
      <c r="BL209" s="16"/>
      <c r="BM209" s="16"/>
      <c r="BN209" s="16"/>
      <c r="BO209" s="16"/>
      <c r="BP209" s="16"/>
      <c r="BQ209" s="16"/>
      <c r="BR209" s="16"/>
      <c r="BS209" s="16"/>
      <c r="BT209" s="16"/>
      <c r="BU209" s="16"/>
      <c r="BV209" s="16"/>
    </row>
    <row r="210" spans="1:74" s="15" customFormat="1" ht="18.75" x14ac:dyDescent="0.2">
      <c r="A210" s="136">
        <f>IF(F210&lt;&gt;"",1+MAX($A$1:A209),"")</f>
        <v>89</v>
      </c>
      <c r="B210" s="145" t="s">
        <v>135</v>
      </c>
      <c r="C210" s="181"/>
      <c r="D210" s="138"/>
      <c r="E210" s="174" t="s">
        <v>95</v>
      </c>
      <c r="F210" s="140">
        <v>5</v>
      </c>
      <c r="G210" s="96">
        <v>0</v>
      </c>
      <c r="H210" s="141">
        <f>F210*(1+G210)</f>
        <v>5</v>
      </c>
      <c r="I210" s="142" t="s">
        <v>20</v>
      </c>
      <c r="J210" s="155">
        <v>0</v>
      </c>
      <c r="K210" s="97">
        <f>J210*H210</f>
        <v>0</v>
      </c>
      <c r="L210" s="144"/>
      <c r="M210" s="16"/>
      <c r="N210" s="16"/>
      <c r="O210" s="16"/>
      <c r="P210" s="16"/>
      <c r="Q210" s="16"/>
      <c r="R210" s="16"/>
      <c r="S210" s="16"/>
      <c r="T210" s="16"/>
      <c r="U210" s="16"/>
      <c r="V210" s="16"/>
      <c r="W210" s="16"/>
      <c r="X210" s="16"/>
      <c r="Y210" s="16"/>
      <c r="Z210" s="16"/>
      <c r="AA210" s="16"/>
      <c r="AB210" s="16"/>
      <c r="AC210" s="16"/>
      <c r="AD210" s="16"/>
      <c r="AE210" s="16"/>
      <c r="AF210" s="16"/>
      <c r="AG210" s="16"/>
      <c r="AH210" s="16"/>
      <c r="AI210" s="16"/>
      <c r="AJ210" s="16"/>
      <c r="AK210" s="16"/>
      <c r="AL210" s="16"/>
      <c r="AM210" s="16"/>
      <c r="AN210" s="16"/>
      <c r="AO210" s="16"/>
      <c r="AP210" s="16"/>
      <c r="AQ210" s="16"/>
      <c r="AR210" s="16"/>
      <c r="AS210" s="16"/>
      <c r="AT210" s="16"/>
      <c r="AU210" s="16"/>
      <c r="AV210" s="16"/>
      <c r="AW210" s="16"/>
      <c r="AX210" s="16"/>
      <c r="AY210" s="16"/>
      <c r="AZ210" s="16"/>
      <c r="BA210" s="16"/>
      <c r="BB210" s="16"/>
      <c r="BC210" s="16"/>
      <c r="BD210" s="16"/>
      <c r="BE210" s="16"/>
      <c r="BF210" s="16"/>
      <c r="BG210" s="16"/>
      <c r="BH210" s="16"/>
      <c r="BI210" s="16"/>
      <c r="BJ210" s="16"/>
      <c r="BK210" s="16"/>
      <c r="BL210" s="16"/>
      <c r="BM210" s="16"/>
      <c r="BN210" s="16"/>
      <c r="BO210" s="16"/>
      <c r="BP210" s="16"/>
      <c r="BQ210" s="16"/>
      <c r="BR210" s="16"/>
      <c r="BS210" s="16"/>
      <c r="BT210" s="16"/>
      <c r="BU210" s="16"/>
      <c r="BV210" s="16"/>
    </row>
    <row r="211" spans="1:74" x14ac:dyDescent="0.2">
      <c r="A211" s="136" t="str">
        <f>IF(F211&lt;&gt;"",1+MAX($A$1:A210),"")</f>
        <v/>
      </c>
      <c r="B211" s="145"/>
      <c r="C211" s="180"/>
      <c r="D211" s="146"/>
      <c r="E211" s="159"/>
      <c r="F211" s="148"/>
      <c r="G211" s="149"/>
      <c r="H211" s="148"/>
      <c r="I211" s="150"/>
      <c r="J211" s="163"/>
      <c r="K211" s="152"/>
      <c r="L211" s="153"/>
    </row>
    <row r="212" spans="1:74" x14ac:dyDescent="0.2">
      <c r="A212" s="136" t="str">
        <f>IF(F212&lt;&gt;"",1+MAX($A$1:A211),"")</f>
        <v/>
      </c>
      <c r="B212" s="145"/>
      <c r="C212" s="180"/>
      <c r="D212" s="146"/>
      <c r="E212" s="147" t="s">
        <v>48</v>
      </c>
      <c r="F212" s="154"/>
      <c r="G212" s="149"/>
      <c r="H212" s="148"/>
      <c r="I212" s="150"/>
      <c r="J212" s="163"/>
      <c r="K212" s="123"/>
      <c r="L212" s="12">
        <f>SUM(K204:K211)</f>
        <v>0</v>
      </c>
    </row>
    <row r="213" spans="1:74" x14ac:dyDescent="0.2">
      <c r="A213" s="136" t="str">
        <f>IF(F213&lt;&gt;"",1+MAX($A$1:A212),"")</f>
        <v/>
      </c>
      <c r="B213" s="145"/>
      <c r="C213" s="180"/>
      <c r="D213" s="146"/>
      <c r="E213" s="174"/>
      <c r="F213" s="154"/>
      <c r="G213" s="149"/>
      <c r="H213" s="148"/>
      <c r="I213" s="150"/>
      <c r="J213" s="163"/>
      <c r="K213" s="123"/>
      <c r="L213" s="153"/>
    </row>
    <row r="214" spans="1:74" x14ac:dyDescent="0.2">
      <c r="A214" s="136" t="str">
        <f>IF(F214&lt;&gt;"",1+MAX($A$1:A213),"")</f>
        <v/>
      </c>
      <c r="B214" s="145"/>
      <c r="C214" s="183"/>
      <c r="D214" s="184" t="s">
        <v>23</v>
      </c>
      <c r="E214" s="161" t="s">
        <v>24</v>
      </c>
      <c r="F214" s="154"/>
      <c r="G214" s="149"/>
      <c r="H214" s="148"/>
      <c r="I214" s="150"/>
      <c r="J214" s="163"/>
      <c r="K214" s="97"/>
      <c r="L214" s="153"/>
    </row>
    <row r="215" spans="1:74" x14ac:dyDescent="0.2">
      <c r="A215" s="136" t="str">
        <f>IF(F215&lt;&gt;"",1+MAX($A$1:A214),"")</f>
        <v/>
      </c>
      <c r="B215" s="145"/>
      <c r="C215" s="180"/>
      <c r="D215" s="185"/>
      <c r="E215" s="186" t="s">
        <v>29</v>
      </c>
      <c r="F215" s="159"/>
      <c r="G215" s="159"/>
      <c r="H215" s="159"/>
      <c r="I215" s="159"/>
      <c r="J215" s="187"/>
      <c r="K215" s="159"/>
      <c r="L215" s="153"/>
    </row>
    <row r="216" spans="1:74" x14ac:dyDescent="0.2">
      <c r="A216" s="136">
        <f>IF(F216&lt;&gt;"",1+MAX($A$1:A215),"")</f>
        <v>90</v>
      </c>
      <c r="B216" s="145" t="s">
        <v>135</v>
      </c>
      <c r="C216" s="169"/>
      <c r="D216" s="146"/>
      <c r="E216" s="174" t="s">
        <v>137</v>
      </c>
      <c r="F216" s="154">
        <v>1</v>
      </c>
      <c r="G216" s="149">
        <v>0</v>
      </c>
      <c r="H216" s="148">
        <f t="shared" ref="H216:H219" si="65">F216*(1+G216)</f>
        <v>1</v>
      </c>
      <c r="I216" s="150" t="s">
        <v>20</v>
      </c>
      <c r="J216" s="155">
        <v>0</v>
      </c>
      <c r="K216" s="97">
        <f t="shared" ref="K216:K219" si="66">J216*H216</f>
        <v>0</v>
      </c>
      <c r="L216" s="153"/>
    </row>
    <row r="217" spans="1:74" x14ac:dyDescent="0.2">
      <c r="A217" s="136">
        <f>IF(F217&lt;&gt;"",1+MAX($A$1:A216),"")</f>
        <v>91</v>
      </c>
      <c r="B217" s="145" t="s">
        <v>135</v>
      </c>
      <c r="C217" s="169"/>
      <c r="D217" s="146"/>
      <c r="E217" s="174" t="s">
        <v>44</v>
      </c>
      <c r="F217" s="154">
        <v>1</v>
      </c>
      <c r="G217" s="149">
        <v>0</v>
      </c>
      <c r="H217" s="148">
        <f t="shared" si="65"/>
        <v>1</v>
      </c>
      <c r="I217" s="150" t="s">
        <v>20</v>
      </c>
      <c r="J217" s="155">
        <v>0</v>
      </c>
      <c r="K217" s="97">
        <f t="shared" si="66"/>
        <v>0</v>
      </c>
      <c r="L217" s="153"/>
    </row>
    <row r="218" spans="1:74" x14ac:dyDescent="0.2">
      <c r="A218" s="136">
        <f>IF(F218&lt;&gt;"",1+MAX($A$1:A217),"")</f>
        <v>92</v>
      </c>
      <c r="B218" s="145" t="s">
        <v>135</v>
      </c>
      <c r="C218" s="169"/>
      <c r="D218" s="146"/>
      <c r="E218" s="174" t="s">
        <v>69</v>
      </c>
      <c r="F218" s="154">
        <v>1</v>
      </c>
      <c r="G218" s="149">
        <v>0</v>
      </c>
      <c r="H218" s="148">
        <f t="shared" si="65"/>
        <v>1</v>
      </c>
      <c r="I218" s="150" t="s">
        <v>20</v>
      </c>
      <c r="J218" s="155">
        <v>0</v>
      </c>
      <c r="K218" s="97">
        <f t="shared" si="66"/>
        <v>0</v>
      </c>
      <c r="L218" s="153"/>
    </row>
    <row r="219" spans="1:74" x14ac:dyDescent="0.2">
      <c r="A219" s="136">
        <f>IF(F219&lt;&gt;"",1+MAX($A$1:A218),"")</f>
        <v>93</v>
      </c>
      <c r="B219" s="145" t="s">
        <v>135</v>
      </c>
      <c r="C219" s="169"/>
      <c r="D219" s="146"/>
      <c r="E219" s="174" t="s">
        <v>87</v>
      </c>
      <c r="F219" s="154">
        <v>1</v>
      </c>
      <c r="G219" s="149">
        <v>0</v>
      </c>
      <c r="H219" s="148">
        <f t="shared" si="65"/>
        <v>1</v>
      </c>
      <c r="I219" s="150" t="s">
        <v>20</v>
      </c>
      <c r="J219" s="155">
        <v>0</v>
      </c>
      <c r="K219" s="97">
        <f t="shared" si="66"/>
        <v>0</v>
      </c>
      <c r="L219" s="153"/>
    </row>
    <row r="220" spans="1:74" x14ac:dyDescent="0.2">
      <c r="A220" s="136">
        <f>IF(F220&lt;&gt;"",1+MAX($A$1:A219),"")</f>
        <v>94</v>
      </c>
      <c r="B220" s="145" t="s">
        <v>135</v>
      </c>
      <c r="C220" s="169"/>
      <c r="D220" s="146"/>
      <c r="E220" s="174" t="s">
        <v>136</v>
      </c>
      <c r="F220" s="154">
        <v>1</v>
      </c>
      <c r="G220" s="149">
        <v>0</v>
      </c>
      <c r="H220" s="148">
        <f t="shared" ref="H220" si="67">F220*(1+G220)</f>
        <v>1</v>
      </c>
      <c r="I220" s="150" t="s">
        <v>20</v>
      </c>
      <c r="J220" s="155">
        <v>0</v>
      </c>
      <c r="K220" s="97">
        <f t="shared" ref="K220" si="68">J220*H220</f>
        <v>0</v>
      </c>
      <c r="L220" s="153"/>
    </row>
    <row r="221" spans="1:74" x14ac:dyDescent="0.2">
      <c r="A221" s="136">
        <f>IF(F221&lt;&gt;"",1+MAX($A$1:A220),"")</f>
        <v>95</v>
      </c>
      <c r="B221" s="145" t="s">
        <v>135</v>
      </c>
      <c r="C221" s="169"/>
      <c r="D221" s="146"/>
      <c r="E221" s="174" t="s">
        <v>138</v>
      </c>
      <c r="F221" s="154">
        <v>1</v>
      </c>
      <c r="G221" s="149">
        <v>0</v>
      </c>
      <c r="H221" s="148">
        <f t="shared" ref="H221" si="69">F221*(1+G221)</f>
        <v>1</v>
      </c>
      <c r="I221" s="150" t="s">
        <v>20</v>
      </c>
      <c r="J221" s="155">
        <v>0</v>
      </c>
      <c r="K221" s="97">
        <f t="shared" ref="K221" si="70">J221*H221</f>
        <v>0</v>
      </c>
      <c r="L221" s="153"/>
    </row>
    <row r="222" spans="1:74" x14ac:dyDescent="0.2">
      <c r="A222" s="136" t="str">
        <f>IF(F222&lt;&gt;"",1+MAX($A$1:A221),"")</f>
        <v/>
      </c>
      <c r="B222" s="145"/>
      <c r="C222" s="180"/>
      <c r="D222" s="146"/>
      <c r="E222" s="147"/>
      <c r="F222" s="148"/>
      <c r="G222" s="149"/>
      <c r="H222" s="148"/>
      <c r="I222" s="150"/>
      <c r="J222" s="163"/>
      <c r="K222" s="152"/>
      <c r="L222" s="153"/>
    </row>
    <row r="223" spans="1:74" x14ac:dyDescent="0.2">
      <c r="A223" s="136" t="str">
        <f>IF(F223&lt;&gt;"",1+MAX($A$1:A222),"")</f>
        <v/>
      </c>
      <c r="B223" s="145"/>
      <c r="C223" s="180"/>
      <c r="D223" s="146"/>
      <c r="E223" s="147" t="s">
        <v>30</v>
      </c>
      <c r="F223" s="154"/>
      <c r="G223" s="149"/>
      <c r="H223" s="148"/>
      <c r="I223" s="150"/>
      <c r="J223" s="163"/>
      <c r="K223" s="123"/>
      <c r="L223" s="12">
        <f>SUM(K215:K222)</f>
        <v>0</v>
      </c>
    </row>
    <row r="224" spans="1:74" x14ac:dyDescent="0.2">
      <c r="A224" s="136" t="str">
        <f>IF(F224&lt;&gt;"",1+MAX($A$1:A223),"")</f>
        <v/>
      </c>
      <c r="B224" s="145"/>
      <c r="C224" s="180"/>
      <c r="D224" s="146"/>
      <c r="E224" s="147"/>
      <c r="F224" s="154"/>
      <c r="G224" s="149"/>
      <c r="H224" s="148"/>
      <c r="I224" s="150"/>
      <c r="J224" s="163"/>
      <c r="K224" s="123"/>
      <c r="L224" s="153"/>
    </row>
    <row r="225" spans="1:12" x14ac:dyDescent="0.2">
      <c r="A225" s="136" t="str">
        <f>IF(F225&lt;&gt;"",1+MAX($A$1:A224),"")</f>
        <v/>
      </c>
      <c r="B225" s="145"/>
      <c r="C225" s="183"/>
      <c r="D225" s="184" t="s">
        <v>25</v>
      </c>
      <c r="E225" s="161" t="s">
        <v>26</v>
      </c>
      <c r="F225" s="154"/>
      <c r="G225" s="149"/>
      <c r="H225" s="148"/>
      <c r="I225" s="150"/>
      <c r="J225" s="163"/>
      <c r="K225" s="97"/>
      <c r="L225" s="153"/>
    </row>
    <row r="226" spans="1:12" x14ac:dyDescent="0.2">
      <c r="A226" s="136" t="str">
        <f>IF(F226&lt;&gt;"",1+MAX($A$1:A225),"")</f>
        <v/>
      </c>
      <c r="B226" s="145"/>
      <c r="C226" s="180"/>
      <c r="D226" s="185"/>
      <c r="E226" s="186" t="s">
        <v>154</v>
      </c>
      <c r="F226" s="159"/>
      <c r="G226" s="159"/>
      <c r="H226" s="159"/>
      <c r="I226" s="159"/>
      <c r="J226" s="187"/>
      <c r="K226" s="159"/>
      <c r="L226" s="153"/>
    </row>
    <row r="227" spans="1:12" x14ac:dyDescent="0.2">
      <c r="A227" s="136" t="str">
        <f>IF(F227&lt;&gt;"",1+MAX($A$1:A226),"")</f>
        <v/>
      </c>
      <c r="B227" s="145"/>
      <c r="C227" s="180"/>
      <c r="D227" s="146"/>
      <c r="E227" s="171" t="s">
        <v>40</v>
      </c>
      <c r="F227" s="154"/>
      <c r="G227" s="149"/>
      <c r="H227" s="148"/>
      <c r="I227" s="150"/>
      <c r="J227" s="163"/>
      <c r="K227" s="97"/>
      <c r="L227" s="153"/>
    </row>
    <row r="228" spans="1:12" ht="31.5" x14ac:dyDescent="0.2">
      <c r="A228" s="136">
        <f>IF(F228&lt;&gt;"",1+MAX($A$1:A227),"")</f>
        <v>96</v>
      </c>
      <c r="B228" s="145" t="s">
        <v>135</v>
      </c>
      <c r="C228" s="180"/>
      <c r="D228" s="146"/>
      <c r="E228" s="174" t="s">
        <v>124</v>
      </c>
      <c r="F228" s="154">
        <f>27.3+4.5*0.334</f>
        <v>28.803000000000001</v>
      </c>
      <c r="G228" s="96">
        <v>7.0000000000000007E-2</v>
      </c>
      <c r="H228" s="148">
        <f t="shared" ref="H228" si="71">F228*(1+G228)</f>
        <v>30.819210000000002</v>
      </c>
      <c r="I228" s="150" t="s">
        <v>18</v>
      </c>
      <c r="J228" s="155">
        <v>0</v>
      </c>
      <c r="K228" s="97">
        <f t="shared" ref="K228" si="72">J228*H228</f>
        <v>0</v>
      </c>
      <c r="L228" s="153"/>
    </row>
    <row r="229" spans="1:12" x14ac:dyDescent="0.2">
      <c r="A229" s="136" t="str">
        <f>IF(F229&lt;&gt;"",1+MAX($A$1:A228),"")</f>
        <v/>
      </c>
      <c r="B229" s="145"/>
      <c r="C229" s="180"/>
      <c r="D229" s="146"/>
      <c r="E229" s="174"/>
      <c r="F229" s="154"/>
      <c r="G229" s="149"/>
      <c r="H229" s="148"/>
      <c r="I229" s="150"/>
      <c r="J229" s="21"/>
      <c r="K229" s="97"/>
      <c r="L229" s="153"/>
    </row>
    <row r="230" spans="1:12" x14ac:dyDescent="0.2">
      <c r="A230" s="136" t="str">
        <f>IF(F230&lt;&gt;"",1+MAX($A$1:A229),"")</f>
        <v/>
      </c>
      <c r="B230" s="145"/>
      <c r="C230" s="180"/>
      <c r="D230" s="146"/>
      <c r="E230" s="171" t="s">
        <v>168</v>
      </c>
      <c r="F230" s="154"/>
      <c r="G230" s="149"/>
      <c r="H230" s="148"/>
      <c r="I230" s="150"/>
      <c r="J230" s="163"/>
      <c r="K230" s="97"/>
      <c r="L230" s="153"/>
    </row>
    <row r="231" spans="1:12" x14ac:dyDescent="0.2">
      <c r="A231" s="136">
        <f>IF(F231&lt;&gt;"",1+MAX($A$1:A230),"")</f>
        <v>97</v>
      </c>
      <c r="B231" s="145" t="s">
        <v>135</v>
      </c>
      <c r="C231" s="169"/>
      <c r="D231" s="146"/>
      <c r="E231" s="174" t="s">
        <v>158</v>
      </c>
      <c r="F231" s="154">
        <f>9.2</f>
        <v>9.1999999999999993</v>
      </c>
      <c r="G231" s="96">
        <v>7.0000000000000007E-2</v>
      </c>
      <c r="H231" s="148">
        <f t="shared" ref="H231:H235" si="73">F231*(1+G231)</f>
        <v>9.8439999999999994</v>
      </c>
      <c r="I231" s="150" t="s">
        <v>15</v>
      </c>
      <c r="J231" s="155">
        <v>0</v>
      </c>
      <c r="K231" s="97">
        <f t="shared" ref="K231:K235" si="74">J231*H231</f>
        <v>0</v>
      </c>
      <c r="L231" s="153"/>
    </row>
    <row r="232" spans="1:12" x14ac:dyDescent="0.2">
      <c r="A232" s="136">
        <f>IF(F232&lt;&gt;"",1+MAX($A$1:A231),"")</f>
        <v>98</v>
      </c>
      <c r="B232" s="145" t="s">
        <v>135</v>
      </c>
      <c r="C232" s="169"/>
      <c r="D232" s="146"/>
      <c r="E232" s="174" t="s">
        <v>159</v>
      </c>
      <c r="F232" s="154">
        <f>1.4</f>
        <v>1.4</v>
      </c>
      <c r="G232" s="96">
        <v>7.0000000000000007E-2</v>
      </c>
      <c r="H232" s="148">
        <f t="shared" si="73"/>
        <v>1.498</v>
      </c>
      <c r="I232" s="150" t="s">
        <v>15</v>
      </c>
      <c r="J232" s="155">
        <v>0</v>
      </c>
      <c r="K232" s="97">
        <f t="shared" si="74"/>
        <v>0</v>
      </c>
      <c r="L232" s="153"/>
    </row>
    <row r="233" spans="1:12" x14ac:dyDescent="0.2">
      <c r="A233" s="136">
        <f>IF(F233&lt;&gt;"",1+MAX($A$1:A232),"")</f>
        <v>99</v>
      </c>
      <c r="B233" s="145" t="s">
        <v>135</v>
      </c>
      <c r="C233" s="169"/>
      <c r="D233" s="146"/>
      <c r="E233" s="174" t="s">
        <v>91</v>
      </c>
      <c r="F233" s="154">
        <f>6.2</f>
        <v>6.2</v>
      </c>
      <c r="G233" s="96">
        <v>7.0000000000000007E-2</v>
      </c>
      <c r="H233" s="148">
        <f t="shared" ref="H233" si="75">F233*(1+G233)</f>
        <v>6.6340000000000003</v>
      </c>
      <c r="I233" s="150" t="s">
        <v>15</v>
      </c>
      <c r="J233" s="155">
        <v>0</v>
      </c>
      <c r="K233" s="97">
        <f t="shared" ref="K233" si="76">J233*H233</f>
        <v>0</v>
      </c>
      <c r="L233" s="153"/>
    </row>
    <row r="234" spans="1:12" x14ac:dyDescent="0.2">
      <c r="A234" s="136">
        <f>IF(F234&lt;&gt;"",1+MAX($A$1:A233),"")</f>
        <v>100</v>
      </c>
      <c r="B234" s="145" t="s">
        <v>135</v>
      </c>
      <c r="C234" s="169"/>
      <c r="D234" s="146"/>
      <c r="E234" s="174" t="s">
        <v>161</v>
      </c>
      <c r="F234" s="154">
        <f>3.2</f>
        <v>3.2</v>
      </c>
      <c r="G234" s="96">
        <v>7.0000000000000007E-2</v>
      </c>
      <c r="H234" s="148">
        <f t="shared" si="73"/>
        <v>3.4240000000000004</v>
      </c>
      <c r="I234" s="150" t="s">
        <v>15</v>
      </c>
      <c r="J234" s="155">
        <v>0</v>
      </c>
      <c r="K234" s="97">
        <f t="shared" si="74"/>
        <v>0</v>
      </c>
      <c r="L234" s="153"/>
    </row>
    <row r="235" spans="1:12" x14ac:dyDescent="0.2">
      <c r="A235" s="136">
        <f>IF(F235&lt;&gt;"",1+MAX($A$1:A234),"")</f>
        <v>101</v>
      </c>
      <c r="B235" s="145" t="s">
        <v>135</v>
      </c>
      <c r="C235" s="180"/>
      <c r="D235" s="146"/>
      <c r="E235" s="174" t="s">
        <v>162</v>
      </c>
      <c r="F235" s="154">
        <v>5</v>
      </c>
      <c r="G235" s="96">
        <v>7.0000000000000007E-2</v>
      </c>
      <c r="H235" s="148">
        <f t="shared" si="73"/>
        <v>5.3500000000000005</v>
      </c>
      <c r="I235" s="150" t="s">
        <v>15</v>
      </c>
      <c r="J235" s="155">
        <v>0</v>
      </c>
      <c r="K235" s="97">
        <f t="shared" si="74"/>
        <v>0</v>
      </c>
      <c r="L235" s="153"/>
    </row>
    <row r="236" spans="1:12" x14ac:dyDescent="0.2">
      <c r="A236" s="136" t="str">
        <f>IF(F236&lt;&gt;"",1+MAX($A$1:A235),"")</f>
        <v/>
      </c>
      <c r="B236" s="145"/>
      <c r="C236" s="180"/>
      <c r="D236" s="146"/>
      <c r="E236" s="174"/>
      <c r="F236" s="154"/>
      <c r="G236" s="149"/>
      <c r="H236" s="148"/>
      <c r="I236" s="150"/>
      <c r="J236" s="21"/>
      <c r="K236" s="97"/>
      <c r="L236" s="153"/>
    </row>
    <row r="237" spans="1:12" x14ac:dyDescent="0.2">
      <c r="A237" s="136" t="str">
        <f>IF(F237&lt;&gt;"",1+MAX($A$1:A236),"")</f>
        <v/>
      </c>
      <c r="B237" s="145"/>
      <c r="C237" s="180"/>
      <c r="D237" s="146"/>
      <c r="E237" s="171" t="s">
        <v>68</v>
      </c>
      <c r="F237" s="154"/>
      <c r="G237" s="149"/>
      <c r="H237" s="148"/>
      <c r="I237" s="150"/>
      <c r="J237" s="163"/>
      <c r="K237" s="97"/>
      <c r="L237" s="153"/>
    </row>
    <row r="238" spans="1:12" ht="31.5" x14ac:dyDescent="0.2">
      <c r="A238" s="136">
        <f>IF(F238&lt;&gt;"",1+MAX($A$1:A237),"")</f>
        <v>102</v>
      </c>
      <c r="B238" s="145" t="s">
        <v>135</v>
      </c>
      <c r="C238" s="180"/>
      <c r="D238" s="146"/>
      <c r="E238" s="174" t="s">
        <v>125</v>
      </c>
      <c r="F238" s="154">
        <f>8</f>
        <v>8</v>
      </c>
      <c r="G238" s="96">
        <v>7.0000000000000007E-2</v>
      </c>
      <c r="H238" s="148">
        <f t="shared" ref="H238" si="77">F238*(1+G238)</f>
        <v>8.56</v>
      </c>
      <c r="I238" s="150" t="s">
        <v>15</v>
      </c>
      <c r="J238" s="155">
        <v>0</v>
      </c>
      <c r="K238" s="97">
        <f t="shared" ref="K238" si="78">J238*H238</f>
        <v>0</v>
      </c>
      <c r="L238" s="153"/>
    </row>
    <row r="239" spans="1:12" x14ac:dyDescent="0.2">
      <c r="A239" s="136">
        <f>IF(F239&lt;&gt;"",1+MAX($A$1:A238),"")</f>
        <v>103</v>
      </c>
      <c r="B239" s="145" t="s">
        <v>135</v>
      </c>
      <c r="C239" s="169"/>
      <c r="D239" s="146"/>
      <c r="E239" s="174" t="s">
        <v>160</v>
      </c>
      <c r="F239" s="154">
        <f>9.2*3</f>
        <v>27.599999999999998</v>
      </c>
      <c r="G239" s="96">
        <v>7.0000000000000007E-2</v>
      </c>
      <c r="H239" s="148">
        <f t="shared" ref="H239" si="79">F239*(1+G239)</f>
        <v>29.532</v>
      </c>
      <c r="I239" s="150" t="s">
        <v>15</v>
      </c>
      <c r="J239" s="155">
        <v>0</v>
      </c>
      <c r="K239" s="97">
        <f t="shared" ref="K239" si="80">J239*H239</f>
        <v>0</v>
      </c>
      <c r="L239" s="153"/>
    </row>
    <row r="240" spans="1:12" x14ac:dyDescent="0.2">
      <c r="A240" s="136" t="str">
        <f>IF(F240&lt;&gt;"",1+MAX($A$1:A239),"")</f>
        <v/>
      </c>
      <c r="B240" s="145"/>
      <c r="C240" s="180"/>
      <c r="D240" s="146"/>
      <c r="E240" s="159"/>
      <c r="F240" s="148"/>
      <c r="G240" s="149"/>
      <c r="H240" s="148"/>
      <c r="I240" s="150"/>
      <c r="J240" s="163"/>
      <c r="K240" s="152"/>
      <c r="L240" s="188"/>
    </row>
    <row r="241" spans="1:74" x14ac:dyDescent="0.2">
      <c r="A241" s="136" t="str">
        <f>IF(F241&lt;&gt;"",1+MAX($A$1:A240),"")</f>
        <v/>
      </c>
      <c r="B241" s="145"/>
      <c r="C241" s="180"/>
      <c r="D241" s="146"/>
      <c r="E241" s="147" t="s">
        <v>28</v>
      </c>
      <c r="F241" s="154"/>
      <c r="G241" s="149"/>
      <c r="H241" s="148"/>
      <c r="I241" s="150"/>
      <c r="J241" s="163"/>
      <c r="K241" s="123"/>
      <c r="L241" s="12">
        <f>SUM(K226:K240)</f>
        <v>0</v>
      </c>
    </row>
    <row r="242" spans="1:74" x14ac:dyDescent="0.2">
      <c r="A242" s="136" t="str">
        <f>IF(F242&lt;&gt;"",1+MAX($A$1:A241),"")</f>
        <v/>
      </c>
      <c r="B242" s="145"/>
      <c r="C242" s="180"/>
      <c r="D242" s="146"/>
      <c r="E242" s="147"/>
      <c r="F242" s="154"/>
      <c r="G242" s="149"/>
      <c r="H242" s="148"/>
      <c r="I242" s="150"/>
      <c r="J242" s="163"/>
      <c r="K242" s="123"/>
      <c r="L242" s="12"/>
    </row>
    <row r="243" spans="1:74" x14ac:dyDescent="0.2">
      <c r="A243" s="136" t="str">
        <f>IF(F243&lt;&gt;"",1+MAX($A$1:A242),"")</f>
        <v/>
      </c>
      <c r="B243" s="145"/>
      <c r="C243" s="145"/>
      <c r="D243" s="185"/>
      <c r="E243" s="186" t="s">
        <v>155</v>
      </c>
      <c r="F243" s="159"/>
      <c r="G243" s="159"/>
      <c r="H243" s="159"/>
      <c r="I243" s="159"/>
      <c r="J243" s="187"/>
      <c r="K243" s="159"/>
      <c r="L243" s="153"/>
    </row>
    <row r="244" spans="1:74" x14ac:dyDescent="0.2">
      <c r="A244" s="136">
        <f>IF(F244&lt;&gt;"",1+MAX($A$1:A243),"")</f>
        <v>104</v>
      </c>
      <c r="B244" s="145" t="s">
        <v>135</v>
      </c>
      <c r="C244" s="145"/>
      <c r="D244" s="146"/>
      <c r="E244" s="174" t="s">
        <v>156</v>
      </c>
      <c r="F244" s="154">
        <v>2</v>
      </c>
      <c r="G244" s="149">
        <v>0</v>
      </c>
      <c r="H244" s="148">
        <f t="shared" ref="H244" si="81">F244*(1+G244)</f>
        <v>2</v>
      </c>
      <c r="I244" s="150" t="s">
        <v>20</v>
      </c>
      <c r="J244" s="97">
        <v>0</v>
      </c>
      <c r="K244" s="97">
        <f t="shared" ref="K244" si="82">J244*H244</f>
        <v>0</v>
      </c>
      <c r="L244" s="153"/>
    </row>
    <row r="245" spans="1:74" x14ac:dyDescent="0.2">
      <c r="A245" s="136" t="str">
        <f>IF(F245&lt;&gt;"",1+MAX($A$1:A244),"")</f>
        <v/>
      </c>
      <c r="B245" s="145"/>
      <c r="C245" s="145"/>
      <c r="D245" s="146"/>
      <c r="E245" s="159"/>
      <c r="F245" s="148"/>
      <c r="G245" s="149"/>
      <c r="H245" s="148"/>
      <c r="I245" s="150"/>
      <c r="J245" s="163"/>
      <c r="K245" s="152"/>
      <c r="L245" s="188"/>
    </row>
    <row r="246" spans="1:74" x14ac:dyDescent="0.2">
      <c r="A246" s="136" t="str">
        <f>IF(F246&lt;&gt;"",1+MAX($A$1:A245),"")</f>
        <v/>
      </c>
      <c r="B246" s="145"/>
      <c r="C246" s="145"/>
      <c r="D246" s="146"/>
      <c r="E246" s="147" t="s">
        <v>157</v>
      </c>
      <c r="F246" s="154"/>
      <c r="G246" s="149"/>
      <c r="H246" s="148"/>
      <c r="I246" s="150"/>
      <c r="J246" s="163"/>
      <c r="K246" s="123"/>
      <c r="L246" s="12">
        <f>SUM(K244:K245)</f>
        <v>0</v>
      </c>
    </row>
    <row r="247" spans="1:74" x14ac:dyDescent="0.2">
      <c r="A247" s="136" t="str">
        <f>IF(F247&lt;&gt;"",1+MAX($A$1:A246),"")</f>
        <v/>
      </c>
      <c r="B247" s="145"/>
      <c r="C247" s="145"/>
      <c r="D247" s="146"/>
      <c r="E247" s="147"/>
      <c r="F247" s="154"/>
      <c r="G247" s="149"/>
      <c r="H247" s="148"/>
      <c r="I247" s="150"/>
      <c r="J247" s="163"/>
      <c r="K247" s="123"/>
      <c r="L247" s="12"/>
    </row>
    <row r="248" spans="1:74" x14ac:dyDescent="0.2">
      <c r="A248" s="136" t="str">
        <f>IF(F248&lt;&gt;"",1+MAX($A$1:A247),"")</f>
        <v/>
      </c>
      <c r="B248" s="145"/>
      <c r="C248" s="150"/>
      <c r="D248" s="184" t="s">
        <v>34</v>
      </c>
      <c r="E248" s="161" t="s">
        <v>35</v>
      </c>
      <c r="F248" s="154"/>
      <c r="G248" s="149"/>
      <c r="H248" s="148"/>
      <c r="I248" s="150"/>
      <c r="J248" s="163"/>
      <c r="K248" s="97"/>
      <c r="L248" s="153"/>
    </row>
    <row r="249" spans="1:74" s="18" customFormat="1" x14ac:dyDescent="0.2">
      <c r="A249" s="136" t="str">
        <f>IF(F249&lt;&gt;"",1+MAX($A$1:A248),"")</f>
        <v/>
      </c>
      <c r="B249" s="142"/>
      <c r="C249" s="145"/>
      <c r="D249" s="186"/>
      <c r="E249" s="186" t="s">
        <v>36</v>
      </c>
      <c r="F249" s="159"/>
      <c r="G249" s="159"/>
      <c r="H249" s="141"/>
      <c r="I249" s="142"/>
      <c r="J249" s="97"/>
      <c r="K249" s="189"/>
      <c r="L249" s="173"/>
      <c r="M249" s="22"/>
      <c r="N249" s="22"/>
      <c r="O249" s="22"/>
      <c r="P249" s="22"/>
      <c r="Q249" s="22"/>
      <c r="R249" s="22"/>
      <c r="S249" s="22"/>
      <c r="T249" s="22"/>
      <c r="U249" s="22"/>
      <c r="V249" s="22"/>
      <c r="W249" s="22"/>
      <c r="X249" s="22"/>
      <c r="Y249" s="22"/>
      <c r="Z249" s="22"/>
      <c r="AA249" s="22"/>
      <c r="AB249" s="22"/>
      <c r="AC249" s="22"/>
      <c r="AD249" s="22"/>
      <c r="AE249" s="22"/>
      <c r="AF249" s="22"/>
      <c r="AG249" s="22"/>
      <c r="AH249" s="22"/>
      <c r="AI249" s="22"/>
      <c r="AJ249" s="22"/>
      <c r="AK249" s="22"/>
      <c r="AL249" s="22"/>
      <c r="AM249" s="22"/>
      <c r="AN249" s="22"/>
      <c r="AO249" s="22"/>
      <c r="AP249" s="22"/>
      <c r="AQ249" s="22"/>
      <c r="AR249" s="22"/>
      <c r="AS249" s="22"/>
      <c r="AT249" s="22"/>
      <c r="AU249" s="22"/>
      <c r="AV249" s="22"/>
      <c r="AW249" s="22"/>
      <c r="AX249" s="22"/>
      <c r="AY249" s="22"/>
      <c r="AZ249" s="22"/>
      <c r="BA249" s="22"/>
      <c r="BB249" s="22"/>
      <c r="BC249" s="22"/>
      <c r="BD249" s="22"/>
      <c r="BE249" s="22"/>
      <c r="BF249" s="22"/>
      <c r="BG249" s="22"/>
      <c r="BH249" s="22"/>
      <c r="BI249" s="22"/>
      <c r="BJ249" s="22"/>
      <c r="BK249" s="22"/>
      <c r="BL249" s="22"/>
      <c r="BM249" s="22"/>
      <c r="BN249" s="22"/>
      <c r="BO249" s="22"/>
      <c r="BP249" s="22"/>
      <c r="BQ249" s="22"/>
      <c r="BR249" s="22"/>
      <c r="BS249" s="22"/>
      <c r="BT249" s="22"/>
      <c r="BU249" s="22"/>
      <c r="BV249" s="22"/>
    </row>
    <row r="250" spans="1:74" x14ac:dyDescent="0.2">
      <c r="A250" s="136">
        <f>IF(F250&lt;&gt;"",1+MAX($A$1:A249),"")</f>
        <v>105</v>
      </c>
      <c r="B250" s="145" t="s">
        <v>135</v>
      </c>
      <c r="C250" s="145"/>
      <c r="D250" s="146"/>
      <c r="E250" s="174" t="s">
        <v>70</v>
      </c>
      <c r="F250" s="154">
        <v>1</v>
      </c>
      <c r="G250" s="149">
        <v>0</v>
      </c>
      <c r="H250" s="148">
        <f t="shared" ref="H250" si="83">F250*(1+G250)</f>
        <v>1</v>
      </c>
      <c r="I250" s="150" t="s">
        <v>20</v>
      </c>
      <c r="J250" s="155">
        <v>0</v>
      </c>
      <c r="K250" s="97">
        <f t="shared" ref="K250:K255" si="84">J250*H250</f>
        <v>0</v>
      </c>
      <c r="L250" s="153"/>
    </row>
    <row r="251" spans="1:74" x14ac:dyDescent="0.2">
      <c r="A251" s="136">
        <f>IF(F251&lt;&gt;"",1+MAX($A$1:A250),"")</f>
        <v>106</v>
      </c>
      <c r="B251" s="145" t="s">
        <v>135</v>
      </c>
      <c r="C251" s="145"/>
      <c r="D251" s="146"/>
      <c r="E251" s="174" t="s">
        <v>163</v>
      </c>
      <c r="F251" s="154">
        <v>1</v>
      </c>
      <c r="G251" s="149">
        <v>0</v>
      </c>
      <c r="H251" s="148">
        <f t="shared" ref="H251" si="85">F251*(1+G251)</f>
        <v>1</v>
      </c>
      <c r="I251" s="150" t="s">
        <v>20</v>
      </c>
      <c r="J251" s="155">
        <v>0</v>
      </c>
      <c r="K251" s="97">
        <f t="shared" si="84"/>
        <v>0</v>
      </c>
      <c r="L251" s="153"/>
    </row>
    <row r="252" spans="1:74" x14ac:dyDescent="0.2">
      <c r="A252" s="136">
        <f>IF(F252&lt;&gt;"",1+MAX($A$1:A251),"")</f>
        <v>107</v>
      </c>
      <c r="B252" s="145" t="s">
        <v>135</v>
      </c>
      <c r="C252" s="145"/>
      <c r="D252" s="146"/>
      <c r="E252" s="174" t="s">
        <v>71</v>
      </c>
      <c r="F252" s="154">
        <v>1</v>
      </c>
      <c r="G252" s="149">
        <v>0</v>
      </c>
      <c r="H252" s="148">
        <f t="shared" ref="H252" si="86">F252*(1+G252)</f>
        <v>1</v>
      </c>
      <c r="I252" s="150" t="s">
        <v>20</v>
      </c>
      <c r="J252" s="155">
        <v>0</v>
      </c>
      <c r="K252" s="97">
        <f t="shared" si="84"/>
        <v>0</v>
      </c>
      <c r="L252" s="153"/>
    </row>
    <row r="253" spans="1:74" ht="31.5" x14ac:dyDescent="0.2">
      <c r="A253" s="136">
        <f>IF(F253&lt;&gt;"",1+MAX($A$1:A252),"")</f>
        <v>108</v>
      </c>
      <c r="B253" s="145" t="s">
        <v>135</v>
      </c>
      <c r="C253" s="145"/>
      <c r="D253" s="146"/>
      <c r="E253" s="174" t="s">
        <v>164</v>
      </c>
      <c r="F253" s="154">
        <v>1</v>
      </c>
      <c r="G253" s="149">
        <v>0</v>
      </c>
      <c r="H253" s="148">
        <f t="shared" ref="H253" si="87">F253*(1+G253)</f>
        <v>1</v>
      </c>
      <c r="I253" s="150" t="s">
        <v>20</v>
      </c>
      <c r="J253" s="155">
        <v>0</v>
      </c>
      <c r="K253" s="97">
        <f t="shared" si="84"/>
        <v>0</v>
      </c>
      <c r="L253" s="153"/>
    </row>
    <row r="254" spans="1:74" x14ac:dyDescent="0.2">
      <c r="A254" s="136">
        <f>IF(F254&lt;&gt;"",1+MAX($A$1:A253),"")</f>
        <v>109</v>
      </c>
      <c r="B254" s="145" t="s">
        <v>135</v>
      </c>
      <c r="C254" s="145"/>
      <c r="D254" s="146"/>
      <c r="E254" s="174" t="s">
        <v>165</v>
      </c>
      <c r="F254" s="154">
        <v>1</v>
      </c>
      <c r="G254" s="149">
        <v>0</v>
      </c>
      <c r="H254" s="148">
        <f t="shared" ref="H254" si="88">F254*(1+G254)</f>
        <v>1</v>
      </c>
      <c r="I254" s="150" t="s">
        <v>20</v>
      </c>
      <c r="J254" s="97">
        <v>0</v>
      </c>
      <c r="K254" s="97">
        <f t="shared" si="84"/>
        <v>0</v>
      </c>
      <c r="L254" s="153"/>
    </row>
    <row r="255" spans="1:74" x14ac:dyDescent="0.2">
      <c r="A255" s="136">
        <f>IF(F255&lt;&gt;"",1+MAX($A$1:A254),"")</f>
        <v>110</v>
      </c>
      <c r="B255" s="145" t="s">
        <v>135</v>
      </c>
      <c r="C255" s="145"/>
      <c r="D255" s="146"/>
      <c r="E255" s="174" t="s">
        <v>166</v>
      </c>
      <c r="F255" s="154">
        <v>1</v>
      </c>
      <c r="G255" s="149">
        <v>0</v>
      </c>
      <c r="H255" s="148">
        <f t="shared" ref="H255" si="89">F255*(1+G255)</f>
        <v>1</v>
      </c>
      <c r="I255" s="150" t="s">
        <v>20</v>
      </c>
      <c r="J255" s="97">
        <v>0</v>
      </c>
      <c r="K255" s="97">
        <f t="shared" si="84"/>
        <v>0</v>
      </c>
      <c r="L255" s="153"/>
    </row>
    <row r="256" spans="1:74" ht="63" x14ac:dyDescent="0.2">
      <c r="A256" s="136" t="str">
        <f>IF(F256&lt;&gt;"",1+MAX($A$1:A255),"")</f>
        <v/>
      </c>
      <c r="B256" s="145"/>
      <c r="C256" s="190"/>
      <c r="D256" s="146"/>
      <c r="E256" s="191" t="s">
        <v>167</v>
      </c>
      <c r="F256" s="154"/>
      <c r="G256" s="149"/>
      <c r="H256" s="148"/>
      <c r="I256" s="150"/>
      <c r="J256" s="187"/>
      <c r="K256" s="97"/>
      <c r="L256" s="153"/>
    </row>
    <row r="257" spans="1:74" x14ac:dyDescent="0.2">
      <c r="A257" s="136" t="str">
        <f>IF(F257&lt;&gt;"",1+MAX($A$1:A256),"")</f>
        <v/>
      </c>
      <c r="B257" s="145"/>
      <c r="C257" s="145"/>
      <c r="D257" s="146"/>
      <c r="E257" s="175" t="s">
        <v>41</v>
      </c>
      <c r="F257" s="154"/>
      <c r="G257" s="159"/>
      <c r="H257" s="159"/>
      <c r="I257" s="159"/>
      <c r="J257" s="187"/>
      <c r="K257" s="159"/>
      <c r="L257" s="153"/>
    </row>
    <row r="258" spans="1:74" ht="31.5" x14ac:dyDescent="0.2">
      <c r="A258" s="136">
        <f>IF(F258&lt;&gt;"",1+MAX($A$1:A257),"")</f>
        <v>111</v>
      </c>
      <c r="B258" s="145"/>
      <c r="C258" s="145"/>
      <c r="D258" s="146"/>
      <c r="E258" s="174" t="s">
        <v>224</v>
      </c>
      <c r="F258" s="154">
        <v>1</v>
      </c>
      <c r="G258" s="98">
        <v>0</v>
      </c>
      <c r="H258" s="148">
        <f t="shared" ref="H258" si="90">F258*(1+G258)</f>
        <v>1</v>
      </c>
      <c r="I258" s="150" t="s">
        <v>27</v>
      </c>
      <c r="J258" s="155">
        <v>0</v>
      </c>
      <c r="K258" s="97">
        <f t="shared" ref="K258" si="91">J258*H258</f>
        <v>0</v>
      </c>
      <c r="L258" s="153"/>
      <c r="N258" s="95"/>
    </row>
    <row r="259" spans="1:74" x14ac:dyDescent="0.2">
      <c r="A259" s="136" t="str">
        <f>IF(F259&lt;&gt;"",1+MAX($A$1:A258),"")</f>
        <v/>
      </c>
      <c r="B259" s="145"/>
      <c r="C259" s="145"/>
      <c r="D259" s="146"/>
      <c r="E259" s="159"/>
      <c r="F259" s="148"/>
      <c r="G259" s="149"/>
      <c r="H259" s="148"/>
      <c r="I259" s="150"/>
      <c r="J259" s="163"/>
      <c r="K259" s="152"/>
      <c r="L259" s="188"/>
    </row>
    <row r="260" spans="1:74" x14ac:dyDescent="0.2">
      <c r="A260" s="136" t="str">
        <f>IF(F260&lt;&gt;"",1+MAX($A$1:A259),"")</f>
        <v/>
      </c>
      <c r="B260" s="145"/>
      <c r="C260" s="145"/>
      <c r="D260" s="146"/>
      <c r="E260" s="147" t="s">
        <v>43</v>
      </c>
      <c r="F260" s="154"/>
      <c r="G260" s="149"/>
      <c r="H260" s="148"/>
      <c r="I260" s="150"/>
      <c r="J260" s="163"/>
      <c r="K260" s="123"/>
      <c r="L260" s="12">
        <f>SUM(K249:K259)</f>
        <v>0</v>
      </c>
    </row>
    <row r="261" spans="1:74" x14ac:dyDescent="0.2">
      <c r="A261" s="136" t="str">
        <f>IF(F261&lt;&gt;"",1+MAX($A$1:A260),"")</f>
        <v/>
      </c>
      <c r="B261" s="145"/>
      <c r="C261" s="145"/>
      <c r="D261" s="146"/>
      <c r="E261" s="147"/>
      <c r="F261" s="154"/>
      <c r="G261" s="149"/>
      <c r="H261" s="148"/>
      <c r="I261" s="150"/>
      <c r="J261" s="163"/>
      <c r="K261" s="123"/>
      <c r="L261" s="12"/>
    </row>
    <row r="262" spans="1:74" x14ac:dyDescent="0.2">
      <c r="A262" s="136" t="str">
        <f>IF(F262&lt;&gt;"",1+MAX($A$1:A261),"")</f>
        <v/>
      </c>
      <c r="B262" s="145"/>
      <c r="C262" s="150"/>
      <c r="D262" s="184"/>
      <c r="E262" s="161" t="s">
        <v>97</v>
      </c>
      <c r="F262" s="154"/>
      <c r="G262" s="149"/>
      <c r="H262" s="148"/>
      <c r="I262" s="150"/>
      <c r="J262" s="163"/>
      <c r="K262" s="97"/>
      <c r="L262" s="153"/>
    </row>
    <row r="263" spans="1:74" s="18" customFormat="1" x14ac:dyDescent="0.2">
      <c r="A263" s="136" t="str">
        <f>IF(F263&lt;&gt;"",1+MAX($A$1:A262),"")</f>
        <v/>
      </c>
      <c r="B263" s="142"/>
      <c r="C263" s="145"/>
      <c r="D263" s="186"/>
      <c r="E263" s="186" t="s">
        <v>41</v>
      </c>
      <c r="F263" s="159"/>
      <c r="G263" s="159"/>
      <c r="H263" s="141"/>
      <c r="I263" s="142"/>
      <c r="J263" s="97"/>
      <c r="K263" s="189"/>
      <c r="L263" s="173"/>
      <c r="M263" s="22"/>
      <c r="N263" s="22"/>
      <c r="O263" s="22"/>
      <c r="P263" s="22"/>
      <c r="Q263" s="22"/>
      <c r="R263" s="22"/>
      <c r="S263" s="22"/>
      <c r="T263" s="22"/>
      <c r="U263" s="22"/>
      <c r="V263" s="22"/>
      <c r="W263" s="22"/>
      <c r="X263" s="22"/>
      <c r="Y263" s="22"/>
      <c r="Z263" s="22"/>
      <c r="AA263" s="22"/>
      <c r="AB263" s="22"/>
      <c r="AC263" s="22"/>
      <c r="AD263" s="22"/>
      <c r="AE263" s="22"/>
      <c r="AF263" s="22"/>
      <c r="AG263" s="22"/>
      <c r="AH263" s="22"/>
      <c r="AI263" s="22"/>
      <c r="AJ263" s="22"/>
      <c r="AK263" s="22"/>
      <c r="AL263" s="22"/>
      <c r="AM263" s="22"/>
      <c r="AN263" s="22"/>
      <c r="AO263" s="22"/>
      <c r="AP263" s="22"/>
      <c r="AQ263" s="22"/>
      <c r="AR263" s="22"/>
      <c r="AS263" s="22"/>
      <c r="AT263" s="22"/>
      <c r="AU263" s="22"/>
      <c r="AV263" s="22"/>
      <c r="AW263" s="22"/>
      <c r="AX263" s="22"/>
      <c r="AY263" s="22"/>
      <c r="AZ263" s="22"/>
      <c r="BA263" s="22"/>
      <c r="BB263" s="22"/>
      <c r="BC263" s="22"/>
      <c r="BD263" s="22"/>
      <c r="BE263" s="22"/>
      <c r="BF263" s="22"/>
      <c r="BG263" s="22"/>
      <c r="BH263" s="22"/>
      <c r="BI263" s="22"/>
      <c r="BJ263" s="22"/>
      <c r="BK263" s="22"/>
      <c r="BL263" s="22"/>
      <c r="BM263" s="22"/>
      <c r="BN263" s="22"/>
      <c r="BO263" s="22"/>
      <c r="BP263" s="22"/>
      <c r="BQ263" s="22"/>
      <c r="BR263" s="22"/>
      <c r="BS263" s="22"/>
      <c r="BT263" s="22"/>
      <c r="BU263" s="22"/>
      <c r="BV263" s="22"/>
    </row>
    <row r="264" spans="1:74" x14ac:dyDescent="0.2">
      <c r="A264" s="136">
        <f>IF(F264&lt;&gt;"",1+MAX($A$1:A263),"")</f>
        <v>112</v>
      </c>
      <c r="B264" s="145"/>
      <c r="C264" s="145"/>
      <c r="D264" s="146"/>
      <c r="E264" s="174" t="s">
        <v>117</v>
      </c>
      <c r="F264" s="154">
        <v>1</v>
      </c>
      <c r="G264" s="98">
        <v>0</v>
      </c>
      <c r="H264" s="148">
        <f t="shared" ref="H264" si="92">F264*(1+G264)</f>
        <v>1</v>
      </c>
      <c r="I264" s="150" t="s">
        <v>27</v>
      </c>
      <c r="J264" s="155">
        <v>0</v>
      </c>
      <c r="K264" s="97">
        <f t="shared" ref="K264" si="93">J264*H264</f>
        <v>0</v>
      </c>
      <c r="L264" s="153"/>
      <c r="N264" s="95"/>
    </row>
    <row r="265" spans="1:74" x14ac:dyDescent="0.2">
      <c r="A265" s="136" t="str">
        <f>IF(F265&lt;&gt;"",1+MAX($A$1:A264),"")</f>
        <v/>
      </c>
      <c r="B265" s="145"/>
      <c r="C265" s="145"/>
      <c r="D265" s="146"/>
      <c r="E265" s="159"/>
      <c r="F265" s="148"/>
      <c r="G265" s="149"/>
      <c r="H265" s="148"/>
      <c r="I265" s="150"/>
      <c r="J265" s="163"/>
      <c r="K265" s="152"/>
      <c r="L265" s="188"/>
    </row>
    <row r="266" spans="1:74" x14ac:dyDescent="0.2">
      <c r="A266" s="136" t="str">
        <f>IF(F266&lt;&gt;"",1+MAX($A$1:A265),"")</f>
        <v/>
      </c>
      <c r="B266" s="145"/>
      <c r="C266" s="145"/>
      <c r="D266" s="146"/>
      <c r="E266" s="147" t="s">
        <v>98</v>
      </c>
      <c r="F266" s="154"/>
      <c r="G266" s="149"/>
      <c r="H266" s="148"/>
      <c r="I266" s="150"/>
      <c r="J266" s="163"/>
      <c r="K266" s="123"/>
      <c r="L266" s="12">
        <f>SUM(K263:K265)</f>
        <v>0</v>
      </c>
    </row>
    <row r="267" spans="1:74" x14ac:dyDescent="0.2">
      <c r="A267" s="136" t="str">
        <f>IF(F267&lt;&gt;"",1+MAX($A$1:A266),"")</f>
        <v/>
      </c>
      <c r="B267" s="145"/>
      <c r="C267" s="145"/>
      <c r="D267" s="146"/>
      <c r="E267" s="147"/>
      <c r="F267" s="154"/>
      <c r="G267" s="149"/>
      <c r="H267" s="148"/>
      <c r="I267" s="150"/>
      <c r="J267" s="163"/>
      <c r="K267" s="123"/>
      <c r="L267" s="12"/>
    </row>
    <row r="268" spans="1:74" x14ac:dyDescent="0.2">
      <c r="A268" s="136" t="str">
        <f>IF(F268&lt;&gt;"",1+MAX($A$1:A267),"")</f>
        <v/>
      </c>
      <c r="B268" s="145"/>
      <c r="C268" s="150"/>
      <c r="D268" s="184" t="s">
        <v>37</v>
      </c>
      <c r="E268" s="161" t="s">
        <v>38</v>
      </c>
      <c r="F268" s="154"/>
      <c r="G268" s="149"/>
      <c r="H268" s="148"/>
      <c r="I268" s="150"/>
      <c r="J268" s="163"/>
      <c r="K268" s="97"/>
      <c r="L268" s="153"/>
    </row>
    <row r="269" spans="1:74" s="18" customFormat="1" x14ac:dyDescent="0.2">
      <c r="A269" s="136" t="str">
        <f>IF(F269&lt;&gt;"",1+MAX($A$1:A268),"")</f>
        <v/>
      </c>
      <c r="B269" s="142"/>
      <c r="C269" s="145"/>
      <c r="D269" s="186"/>
      <c r="E269" s="186" t="s">
        <v>114</v>
      </c>
      <c r="F269" s="159"/>
      <c r="G269" s="159"/>
      <c r="H269" s="141"/>
      <c r="I269" s="142"/>
      <c r="J269" s="97"/>
      <c r="K269" s="189"/>
      <c r="L269" s="173"/>
      <c r="M269" s="22"/>
      <c r="N269" s="22"/>
      <c r="O269" s="22"/>
      <c r="P269" s="22"/>
      <c r="Q269" s="22"/>
      <c r="R269" s="22"/>
      <c r="S269" s="22"/>
      <c r="T269" s="22"/>
      <c r="U269" s="22"/>
      <c r="V269" s="22"/>
      <c r="W269" s="22"/>
      <c r="X269" s="22"/>
      <c r="Y269" s="22"/>
      <c r="Z269" s="22"/>
      <c r="AA269" s="22"/>
      <c r="AB269" s="22"/>
      <c r="AC269" s="22"/>
      <c r="AD269" s="22"/>
      <c r="AE269" s="22"/>
      <c r="AF269" s="22"/>
      <c r="AG269" s="22"/>
      <c r="AH269" s="22"/>
      <c r="AI269" s="22"/>
      <c r="AJ269" s="22"/>
      <c r="AK269" s="22"/>
      <c r="AL269" s="22"/>
      <c r="AM269" s="22"/>
      <c r="AN269" s="22"/>
      <c r="AO269" s="22"/>
      <c r="AP269" s="22"/>
      <c r="AQ269" s="22"/>
      <c r="AR269" s="22"/>
      <c r="AS269" s="22"/>
      <c r="AT269" s="22"/>
      <c r="AU269" s="22"/>
      <c r="AV269" s="22"/>
      <c r="AW269" s="22"/>
      <c r="AX269" s="22"/>
      <c r="AY269" s="22"/>
      <c r="AZ269" s="22"/>
      <c r="BA269" s="22"/>
      <c r="BB269" s="22"/>
      <c r="BC269" s="22"/>
      <c r="BD269" s="22"/>
      <c r="BE269" s="22"/>
      <c r="BF269" s="22"/>
      <c r="BG269" s="22"/>
      <c r="BH269" s="22"/>
      <c r="BI269" s="22"/>
      <c r="BJ269" s="22"/>
      <c r="BK269" s="22"/>
      <c r="BL269" s="22"/>
      <c r="BM269" s="22"/>
      <c r="BN269" s="22"/>
      <c r="BO269" s="22"/>
      <c r="BP269" s="22"/>
      <c r="BQ269" s="22"/>
      <c r="BR269" s="22"/>
      <c r="BS269" s="22"/>
      <c r="BT269" s="22"/>
      <c r="BU269" s="22"/>
      <c r="BV269" s="22"/>
    </row>
    <row r="270" spans="1:74" s="18" customFormat="1" ht="31.5" x14ac:dyDescent="0.2">
      <c r="A270" s="136">
        <f>IF(F270&lt;&gt;"",1+MAX($A$1:A269),"")</f>
        <v>113</v>
      </c>
      <c r="B270" s="145"/>
      <c r="C270" s="145"/>
      <c r="D270" s="146"/>
      <c r="E270" s="174" t="s">
        <v>221</v>
      </c>
      <c r="F270" s="154">
        <v>1</v>
      </c>
      <c r="G270" s="96">
        <v>0</v>
      </c>
      <c r="H270" s="148">
        <f>F270*(1+G270)</f>
        <v>1</v>
      </c>
      <c r="I270" s="150" t="s">
        <v>27</v>
      </c>
      <c r="J270" s="155">
        <v>0</v>
      </c>
      <c r="K270" s="97">
        <f t="shared" ref="K270" si="94">J270*H270</f>
        <v>0</v>
      </c>
      <c r="L270" s="173"/>
      <c r="M270" s="9"/>
      <c r="N270" s="95"/>
      <c r="O270" s="22"/>
      <c r="P270" s="22"/>
      <c r="Q270" s="22"/>
      <c r="R270" s="22"/>
      <c r="S270" s="22"/>
      <c r="T270" s="22"/>
      <c r="U270" s="22"/>
      <c r="V270" s="22"/>
      <c r="W270" s="22"/>
      <c r="X270" s="22"/>
      <c r="Y270" s="22"/>
      <c r="Z270" s="22"/>
      <c r="AA270" s="22"/>
      <c r="AB270" s="22"/>
      <c r="AC270" s="22"/>
      <c r="AD270" s="22"/>
      <c r="AE270" s="22"/>
      <c r="AF270" s="22"/>
      <c r="AG270" s="22"/>
      <c r="AH270" s="22"/>
      <c r="AI270" s="22"/>
      <c r="AJ270" s="22"/>
      <c r="AK270" s="22"/>
      <c r="AL270" s="22"/>
      <c r="AM270" s="22"/>
      <c r="AN270" s="22"/>
      <c r="AO270" s="22"/>
      <c r="AP270" s="22"/>
      <c r="AQ270" s="22"/>
      <c r="AR270" s="22"/>
      <c r="AS270" s="22"/>
      <c r="AT270" s="22"/>
      <c r="AU270" s="22"/>
      <c r="AV270" s="22"/>
      <c r="AW270" s="22"/>
      <c r="AX270" s="22"/>
      <c r="AY270" s="22"/>
      <c r="AZ270" s="22"/>
      <c r="BA270" s="22"/>
      <c r="BB270" s="22"/>
      <c r="BC270" s="22"/>
      <c r="BD270" s="22"/>
      <c r="BE270" s="22"/>
      <c r="BF270" s="22"/>
      <c r="BG270" s="22"/>
      <c r="BH270" s="22"/>
      <c r="BI270" s="22"/>
      <c r="BJ270" s="22"/>
      <c r="BK270" s="22"/>
      <c r="BL270" s="22"/>
      <c r="BM270" s="22"/>
      <c r="BN270" s="22"/>
      <c r="BO270" s="22"/>
      <c r="BP270" s="22"/>
      <c r="BQ270" s="22"/>
      <c r="BR270" s="22"/>
      <c r="BS270" s="22"/>
      <c r="BT270" s="22"/>
      <c r="BU270" s="22"/>
      <c r="BV270" s="22"/>
    </row>
    <row r="271" spans="1:74" x14ac:dyDescent="0.2">
      <c r="A271" s="136" t="str">
        <f>IF(F271&lt;&gt;"",1+MAX($A$1:A270),"")</f>
        <v/>
      </c>
      <c r="B271" s="145"/>
      <c r="C271" s="145"/>
      <c r="D271" s="146"/>
      <c r="E271" s="147"/>
      <c r="F271" s="148"/>
      <c r="G271" s="149"/>
      <c r="H271" s="148"/>
      <c r="I271" s="150"/>
      <c r="J271" s="163"/>
      <c r="K271" s="152"/>
      <c r="L271" s="153"/>
    </row>
    <row r="272" spans="1:74" x14ac:dyDescent="0.2">
      <c r="A272" s="136" t="str">
        <f>IF(F272&lt;&gt;"",1+MAX($A$1:A271),"")</f>
        <v/>
      </c>
      <c r="B272" s="145"/>
      <c r="C272" s="145"/>
      <c r="D272" s="146"/>
      <c r="E272" s="147" t="s">
        <v>39</v>
      </c>
      <c r="F272" s="154"/>
      <c r="G272" s="149"/>
      <c r="H272" s="148"/>
      <c r="I272" s="150"/>
      <c r="J272" s="163"/>
      <c r="K272" s="123"/>
      <c r="L272" s="12">
        <f>SUM(K269:K271)</f>
        <v>0</v>
      </c>
    </row>
    <row r="273" spans="1:74" s="68" customFormat="1" ht="16.5" thickBot="1" x14ac:dyDescent="0.25">
      <c r="A273" s="112" t="s">
        <v>14</v>
      </c>
      <c r="B273" s="113"/>
      <c r="C273" s="114"/>
      <c r="D273" s="114"/>
      <c r="E273" s="115"/>
      <c r="F273" s="116"/>
      <c r="G273" s="117"/>
      <c r="H273" s="117"/>
      <c r="I273" s="118"/>
      <c r="J273" s="119"/>
      <c r="K273" s="120">
        <f>(SUM(K7:K272))/1</f>
        <v>0</v>
      </c>
      <c r="L273" s="121">
        <f>SUM(L7:L272)</f>
        <v>0</v>
      </c>
      <c r="M273" s="9"/>
      <c r="N273" s="9"/>
      <c r="O273" s="9"/>
      <c r="P273" s="9"/>
      <c r="Q273" s="9"/>
      <c r="R273" s="9"/>
      <c r="S273" s="9"/>
      <c r="T273" s="9"/>
      <c r="U273" s="9"/>
      <c r="V273" s="9"/>
      <c r="W273" s="9"/>
      <c r="X273" s="9"/>
      <c r="Y273" s="9"/>
      <c r="Z273" s="9"/>
      <c r="AA273" s="9"/>
      <c r="AB273" s="9"/>
      <c r="AC273" s="9"/>
      <c r="AD273" s="9"/>
      <c r="AE273" s="9"/>
      <c r="AF273" s="9"/>
      <c r="AG273" s="9"/>
      <c r="AH273" s="9"/>
      <c r="AI273" s="9"/>
      <c r="AJ273" s="9"/>
      <c r="AK273" s="9"/>
      <c r="AL273" s="9"/>
      <c r="AM273" s="9"/>
      <c r="AN273" s="9"/>
      <c r="AO273" s="9"/>
      <c r="AP273" s="9"/>
      <c r="AQ273" s="9"/>
      <c r="AR273" s="9"/>
      <c r="AS273" s="9"/>
      <c r="AT273" s="9"/>
      <c r="AU273" s="9"/>
      <c r="AV273" s="9"/>
      <c r="AW273" s="9"/>
      <c r="AX273" s="9"/>
      <c r="AY273" s="9"/>
      <c r="AZ273" s="9"/>
      <c r="BA273" s="9"/>
      <c r="BB273" s="9"/>
      <c r="BC273" s="9"/>
      <c r="BD273" s="9"/>
      <c r="BE273" s="9"/>
      <c r="BF273" s="9"/>
      <c r="BG273" s="9"/>
      <c r="BH273" s="9"/>
      <c r="BI273" s="9"/>
      <c r="BJ273" s="9"/>
      <c r="BK273" s="9"/>
      <c r="BL273" s="9"/>
      <c r="BM273" s="9"/>
      <c r="BN273" s="9"/>
      <c r="BO273" s="9"/>
      <c r="BP273" s="9"/>
      <c r="BQ273" s="9"/>
      <c r="BR273" s="9"/>
      <c r="BS273" s="9"/>
      <c r="BT273" s="9"/>
      <c r="BU273" s="9"/>
      <c r="BV273" s="9"/>
    </row>
    <row r="274" spans="1:74" s="88" customFormat="1" ht="16.5" thickBot="1" x14ac:dyDescent="0.25">
      <c r="A274" s="79" t="s">
        <v>130</v>
      </c>
      <c r="B274" s="80"/>
      <c r="C274" s="81"/>
      <c r="D274" s="81"/>
      <c r="E274" s="82"/>
      <c r="F274" s="83"/>
      <c r="G274" s="84"/>
      <c r="H274" s="84"/>
      <c r="I274" s="85"/>
      <c r="J274" s="27">
        <v>0.2</v>
      </c>
      <c r="K274" s="86">
        <f>J274*K273</f>
        <v>0</v>
      </c>
      <c r="L274" s="87">
        <f>L273*J274</f>
        <v>0</v>
      </c>
      <c r="M274" s="9"/>
      <c r="N274" s="9"/>
      <c r="O274" s="9"/>
      <c r="P274" s="9"/>
      <c r="Q274" s="9"/>
      <c r="R274" s="9"/>
      <c r="S274" s="9"/>
      <c r="T274" s="9"/>
      <c r="U274" s="9"/>
      <c r="V274" s="9"/>
      <c r="W274" s="9"/>
      <c r="X274" s="9"/>
      <c r="Y274" s="9"/>
      <c r="Z274" s="9"/>
      <c r="AA274" s="9"/>
      <c r="AB274" s="9"/>
      <c r="AC274" s="9"/>
      <c r="AD274" s="9"/>
      <c r="AE274" s="9"/>
      <c r="AF274" s="9"/>
      <c r="AG274" s="9"/>
      <c r="AH274" s="9"/>
      <c r="AI274" s="9"/>
      <c r="AJ274" s="9"/>
      <c r="AK274" s="9"/>
      <c r="AL274" s="9"/>
      <c r="AM274" s="9"/>
      <c r="AN274" s="9"/>
      <c r="AO274" s="9"/>
      <c r="AP274" s="9"/>
      <c r="AQ274" s="9"/>
      <c r="AR274" s="9"/>
      <c r="AS274" s="9"/>
      <c r="AT274" s="9"/>
      <c r="AU274" s="9"/>
      <c r="AV274" s="9"/>
      <c r="AW274" s="9"/>
      <c r="AX274" s="9"/>
      <c r="AY274" s="9"/>
      <c r="AZ274" s="9"/>
      <c r="BA274" s="9"/>
      <c r="BB274" s="9"/>
      <c r="BC274" s="9"/>
      <c r="BD274" s="9"/>
      <c r="BE274" s="9"/>
      <c r="BF274" s="9"/>
      <c r="BG274" s="9"/>
      <c r="BH274" s="9"/>
      <c r="BI274" s="9"/>
      <c r="BJ274" s="9"/>
      <c r="BK274" s="9"/>
      <c r="BL274" s="9"/>
      <c r="BM274" s="9"/>
      <c r="BN274" s="9"/>
      <c r="BO274" s="9"/>
      <c r="BP274" s="9"/>
      <c r="BQ274" s="9"/>
      <c r="BR274" s="9"/>
      <c r="BS274" s="9"/>
      <c r="BT274" s="9"/>
      <c r="BU274" s="9"/>
      <c r="BV274" s="9"/>
    </row>
    <row r="275" spans="1:74" s="88" customFormat="1" ht="16.5" thickBot="1" x14ac:dyDescent="0.25">
      <c r="A275" s="79" t="s">
        <v>222</v>
      </c>
      <c r="B275" s="80"/>
      <c r="C275" s="81"/>
      <c r="D275" s="81"/>
      <c r="E275" s="82"/>
      <c r="F275" s="83"/>
      <c r="G275" s="84"/>
      <c r="H275" s="84"/>
      <c r="I275" s="85"/>
      <c r="J275" s="27">
        <v>0.03</v>
      </c>
      <c r="K275" s="86">
        <f>J275*K273</f>
        <v>0</v>
      </c>
      <c r="L275" s="89">
        <f>J275*L273</f>
        <v>0</v>
      </c>
      <c r="M275" s="9"/>
      <c r="N275" s="9"/>
      <c r="O275" s="9"/>
      <c r="P275" s="9"/>
      <c r="Q275" s="9"/>
      <c r="R275" s="9"/>
      <c r="S275" s="9"/>
      <c r="T275" s="9"/>
      <c r="U275" s="9"/>
      <c r="V275" s="9"/>
      <c r="W275" s="9"/>
      <c r="X275" s="9"/>
      <c r="Y275" s="9"/>
      <c r="Z275" s="9"/>
      <c r="AA275" s="9"/>
      <c r="AB275" s="9"/>
      <c r="AC275" s="9"/>
      <c r="AD275" s="9"/>
      <c r="AE275" s="9"/>
      <c r="AF275" s="9"/>
      <c r="AG275" s="9"/>
      <c r="AH275" s="9"/>
      <c r="AI275" s="9"/>
      <c r="AJ275" s="9"/>
      <c r="AK275" s="9"/>
      <c r="AL275" s="9"/>
      <c r="AM275" s="9"/>
      <c r="AN275" s="9"/>
      <c r="AO275" s="9"/>
      <c r="AP275" s="9"/>
      <c r="AQ275" s="9"/>
      <c r="AR275" s="9"/>
      <c r="AS275" s="9"/>
      <c r="AT275" s="9"/>
      <c r="AU275" s="9"/>
      <c r="AV275" s="9"/>
      <c r="AW275" s="9"/>
      <c r="AX275" s="9"/>
      <c r="AY275" s="9"/>
      <c r="AZ275" s="9"/>
      <c r="BA275" s="9"/>
      <c r="BB275" s="9"/>
      <c r="BC275" s="9"/>
      <c r="BD275" s="9"/>
      <c r="BE275" s="9"/>
      <c r="BF275" s="9"/>
      <c r="BG275" s="9"/>
      <c r="BH275" s="9"/>
      <c r="BI275" s="9"/>
      <c r="BJ275" s="9"/>
      <c r="BK275" s="9"/>
      <c r="BL275" s="9"/>
      <c r="BM275" s="9"/>
      <c r="BN275" s="9"/>
      <c r="BO275" s="9"/>
      <c r="BP275" s="9"/>
      <c r="BQ275" s="9"/>
      <c r="BR275" s="9"/>
      <c r="BS275" s="9"/>
      <c r="BT275" s="9"/>
      <c r="BU275" s="9"/>
      <c r="BV275" s="9"/>
    </row>
    <row r="276" spans="1:74" s="68" customFormat="1" ht="16.5" thickBot="1" x14ac:dyDescent="0.25">
      <c r="A276" s="69" t="s">
        <v>3</v>
      </c>
      <c r="B276" s="70"/>
      <c r="C276" s="71"/>
      <c r="D276" s="71"/>
      <c r="E276" s="72"/>
      <c r="F276" s="73"/>
      <c r="G276" s="74"/>
      <c r="H276" s="75"/>
      <c r="I276" s="71"/>
      <c r="J276" s="76"/>
      <c r="K276" s="77"/>
      <c r="L276" s="78">
        <f>SUM(L273:L275)</f>
        <v>0</v>
      </c>
      <c r="M276" s="9"/>
      <c r="N276" s="9"/>
      <c r="O276" s="9"/>
      <c r="P276" s="9"/>
      <c r="Q276" s="9"/>
      <c r="R276" s="9"/>
      <c r="S276" s="9"/>
      <c r="T276" s="9"/>
      <c r="U276" s="9"/>
      <c r="V276" s="9"/>
      <c r="W276" s="9"/>
      <c r="X276" s="9"/>
      <c r="Y276" s="9"/>
      <c r="Z276" s="9"/>
      <c r="AA276" s="9"/>
      <c r="AB276" s="9"/>
      <c r="AC276" s="9"/>
      <c r="AD276" s="9"/>
      <c r="AE276" s="9"/>
      <c r="AF276" s="9"/>
      <c r="AG276" s="9"/>
      <c r="AH276" s="9"/>
      <c r="AI276" s="9"/>
      <c r="AJ276" s="9"/>
      <c r="AK276" s="9"/>
      <c r="AL276" s="9"/>
      <c r="AM276" s="9"/>
      <c r="AN276" s="9"/>
      <c r="AO276" s="9"/>
      <c r="AP276" s="9"/>
      <c r="AQ276" s="9"/>
      <c r="AR276" s="9"/>
      <c r="AS276" s="9"/>
      <c r="AT276" s="9"/>
      <c r="AU276" s="9"/>
      <c r="AV276" s="9"/>
      <c r="AW276" s="9"/>
      <c r="AX276" s="9"/>
      <c r="AY276" s="9"/>
      <c r="AZ276" s="9"/>
      <c r="BA276" s="9"/>
      <c r="BB276" s="9"/>
      <c r="BC276" s="9"/>
      <c r="BD276" s="9"/>
      <c r="BE276" s="9"/>
      <c r="BF276" s="9"/>
      <c r="BG276" s="9"/>
      <c r="BH276" s="9"/>
      <c r="BI276" s="9"/>
      <c r="BJ276" s="9"/>
      <c r="BK276" s="9"/>
      <c r="BL276" s="9"/>
      <c r="BM276" s="9"/>
      <c r="BN276" s="9"/>
      <c r="BO276" s="9"/>
      <c r="BP276" s="9"/>
      <c r="BQ276" s="9"/>
      <c r="BR276" s="9"/>
      <c r="BS276" s="9"/>
      <c r="BT276" s="9"/>
      <c r="BU276" s="9"/>
      <c r="BV276" s="9"/>
    </row>
    <row r="277" spans="1:74" x14ac:dyDescent="0.2">
      <c r="A277" s="51" t="s">
        <v>42</v>
      </c>
      <c r="B277" s="52"/>
      <c r="C277" s="53"/>
      <c r="D277" s="53"/>
      <c r="E277" s="54"/>
      <c r="F277" s="55"/>
      <c r="G277" s="56"/>
      <c r="H277" s="56"/>
      <c r="I277" s="53"/>
      <c r="J277" s="57"/>
      <c r="K277" s="58"/>
      <c r="L277" s="59"/>
    </row>
    <row r="278" spans="1:74" ht="16.5" thickBot="1" x14ac:dyDescent="0.25">
      <c r="A278" s="28" t="s">
        <v>113</v>
      </c>
      <c r="B278" s="29"/>
      <c r="C278" s="30"/>
      <c r="D278" s="30"/>
      <c r="E278" s="31"/>
      <c r="F278" s="32"/>
      <c r="G278" s="33"/>
      <c r="H278" s="33"/>
      <c r="I278" s="30"/>
      <c r="J278" s="34"/>
      <c r="K278" s="35"/>
      <c r="L278" s="36"/>
    </row>
    <row r="279" spans="1:74" ht="16.5" thickBot="1" x14ac:dyDescent="0.25"/>
    <row r="280" spans="1:74" x14ac:dyDescent="0.2">
      <c r="A280" s="213"/>
      <c r="B280" s="214"/>
      <c r="C280" s="215"/>
      <c r="D280" s="215"/>
      <c r="E280" s="192" t="s">
        <v>183</v>
      </c>
      <c r="F280" s="216">
        <f>12</f>
        <v>12</v>
      </c>
      <c r="G280" s="216" t="s">
        <v>20</v>
      </c>
      <c r="H280" s="217">
        <v>0</v>
      </c>
      <c r="I280" s="217">
        <v>0</v>
      </c>
      <c r="J280" s="218">
        <f>H280*F280</f>
        <v>0</v>
      </c>
      <c r="K280" s="218">
        <f>I280*F280</f>
        <v>0</v>
      </c>
      <c r="L280" s="219">
        <f t="shared" ref="L280:L282" si="95">K280+J280</f>
        <v>0</v>
      </c>
    </row>
    <row r="281" spans="1:74" x14ac:dyDescent="0.2">
      <c r="A281" s="208"/>
      <c r="B281" s="145"/>
      <c r="C281" s="150"/>
      <c r="D281" s="150"/>
      <c r="E281" s="139"/>
      <c r="F281" s="142">
        <v>322</v>
      </c>
      <c r="G281" s="142" t="s">
        <v>20</v>
      </c>
      <c r="H281" s="155">
        <v>0</v>
      </c>
      <c r="I281" s="155">
        <v>0</v>
      </c>
      <c r="J281" s="143">
        <f>H281*F281</f>
        <v>0</v>
      </c>
      <c r="K281" s="143">
        <f>I281*F281</f>
        <v>0</v>
      </c>
      <c r="L281" s="198">
        <f t="shared" si="95"/>
        <v>0</v>
      </c>
    </row>
    <row r="282" spans="1:74" x14ac:dyDescent="0.2">
      <c r="A282" s="208">
        <v>1</v>
      </c>
      <c r="B282" s="145"/>
      <c r="C282" s="150"/>
      <c r="D282" s="150"/>
      <c r="E282" s="139" t="s">
        <v>127</v>
      </c>
      <c r="F282" s="142">
        <v>36</v>
      </c>
      <c r="G282" s="142" t="s">
        <v>20</v>
      </c>
      <c r="H282" s="155">
        <v>0</v>
      </c>
      <c r="I282" s="155">
        <v>0</v>
      </c>
      <c r="J282" s="143">
        <f>H282*F282</f>
        <v>0</v>
      </c>
      <c r="K282" s="143">
        <f>I282*F282</f>
        <v>0</v>
      </c>
      <c r="L282" s="198">
        <f t="shared" si="95"/>
        <v>0</v>
      </c>
    </row>
    <row r="283" spans="1:74" x14ac:dyDescent="0.2">
      <c r="A283" s="208">
        <v>2</v>
      </c>
      <c r="B283" s="145"/>
      <c r="C283" s="150"/>
      <c r="D283" s="150"/>
      <c r="E283" s="139" t="s">
        <v>126</v>
      </c>
      <c r="F283" s="142"/>
      <c r="G283" s="142"/>
      <c r="H283" s="155"/>
      <c r="I283" s="155"/>
      <c r="J283" s="155"/>
      <c r="K283" s="155"/>
      <c r="L283" s="198"/>
    </row>
    <row r="284" spans="1:74" x14ac:dyDescent="0.2">
      <c r="A284" s="208">
        <v>3</v>
      </c>
      <c r="B284" s="145"/>
      <c r="C284" s="150"/>
      <c r="D284" s="150"/>
      <c r="E284" s="139" t="s">
        <v>128</v>
      </c>
      <c r="F284" s="142"/>
      <c r="G284" s="142"/>
      <c r="H284" s="155"/>
      <c r="I284" s="155"/>
      <c r="J284" s="155"/>
      <c r="K284" s="155"/>
      <c r="L284" s="198"/>
    </row>
    <row r="285" spans="1:74" x14ac:dyDescent="0.2">
      <c r="A285" s="208"/>
      <c r="B285" s="145"/>
      <c r="C285" s="150"/>
      <c r="D285" s="150"/>
      <c r="E285" s="193" t="s">
        <v>99</v>
      </c>
      <c r="F285" s="142">
        <v>3</v>
      </c>
      <c r="G285" s="142" t="s">
        <v>20</v>
      </c>
      <c r="H285" s="155">
        <f t="shared" ref="H285:I285" si="96">H$10</f>
        <v>0</v>
      </c>
      <c r="I285" s="155">
        <f t="shared" si="96"/>
        <v>0</v>
      </c>
      <c r="J285" s="143">
        <f>H285*F285</f>
        <v>0</v>
      </c>
      <c r="K285" s="143">
        <f>I285*F285</f>
        <v>0</v>
      </c>
      <c r="L285" s="198">
        <f t="shared" ref="L285:L288" si="97">K285+J285</f>
        <v>0</v>
      </c>
    </row>
    <row r="286" spans="1:74" x14ac:dyDescent="0.2">
      <c r="A286" s="208"/>
      <c r="B286" s="145"/>
      <c r="C286" s="150"/>
      <c r="D286" s="150"/>
      <c r="E286" s="139"/>
      <c r="F286" s="142">
        <f>49</f>
        <v>49</v>
      </c>
      <c r="G286" s="142" t="s">
        <v>20</v>
      </c>
      <c r="H286" s="155">
        <v>0</v>
      </c>
      <c r="I286" s="155">
        <v>0</v>
      </c>
      <c r="J286" s="143">
        <f>H286*F286</f>
        <v>0</v>
      </c>
      <c r="K286" s="143">
        <f>I286*F286</f>
        <v>0</v>
      </c>
      <c r="L286" s="198">
        <f t="shared" si="97"/>
        <v>0</v>
      </c>
    </row>
    <row r="287" spans="1:74" x14ac:dyDescent="0.2">
      <c r="A287" s="208">
        <v>4</v>
      </c>
      <c r="B287" s="145"/>
      <c r="C287" s="150"/>
      <c r="D287" s="150"/>
      <c r="E287" s="139" t="s">
        <v>128</v>
      </c>
      <c r="F287" s="142">
        <v>9</v>
      </c>
      <c r="G287" s="142" t="s">
        <v>20</v>
      </c>
      <c r="H287" s="155">
        <f t="shared" ref="H287:I287" si="98">H$9</f>
        <v>0</v>
      </c>
      <c r="I287" s="155">
        <f t="shared" si="98"/>
        <v>0</v>
      </c>
      <c r="J287" s="143">
        <f>H287*F287</f>
        <v>0</v>
      </c>
      <c r="K287" s="143">
        <f>I287*F287</f>
        <v>0</v>
      </c>
      <c r="L287" s="198">
        <f t="shared" si="97"/>
        <v>0</v>
      </c>
    </row>
    <row r="288" spans="1:74" x14ac:dyDescent="0.2">
      <c r="A288" s="208">
        <v>5</v>
      </c>
      <c r="B288" s="145"/>
      <c r="C288" s="150"/>
      <c r="D288" s="150"/>
      <c r="E288" s="139" t="s">
        <v>184</v>
      </c>
      <c r="F288" s="142">
        <v>7</v>
      </c>
      <c r="G288" s="142" t="s">
        <v>20</v>
      </c>
      <c r="H288" s="155">
        <f t="shared" ref="H288:I288" si="99">H$10</f>
        <v>0</v>
      </c>
      <c r="I288" s="155">
        <f t="shared" si="99"/>
        <v>0</v>
      </c>
      <c r="J288" s="143">
        <f>H288*F288</f>
        <v>0</v>
      </c>
      <c r="K288" s="143">
        <f>I288*F288</f>
        <v>0</v>
      </c>
      <c r="L288" s="198">
        <f t="shared" si="97"/>
        <v>0</v>
      </c>
    </row>
    <row r="289" spans="1:12" x14ac:dyDescent="0.2">
      <c r="A289" s="208">
        <v>6</v>
      </c>
      <c r="B289" s="145"/>
      <c r="C289" s="150"/>
      <c r="D289" s="150"/>
      <c r="E289" s="139" t="s">
        <v>185</v>
      </c>
      <c r="F289" s="142"/>
      <c r="G289" s="142"/>
      <c r="H289" s="155"/>
      <c r="I289" s="155"/>
      <c r="J289" s="143"/>
      <c r="K289" s="143"/>
      <c r="L289" s="198"/>
    </row>
    <row r="290" spans="1:12" x14ac:dyDescent="0.2">
      <c r="A290" s="208">
        <v>7</v>
      </c>
      <c r="B290" s="145"/>
      <c r="C290" s="150"/>
      <c r="D290" s="150"/>
      <c r="E290" s="139" t="s">
        <v>128</v>
      </c>
      <c r="F290" s="142"/>
      <c r="G290" s="142"/>
      <c r="H290" s="155"/>
      <c r="I290" s="155"/>
      <c r="J290" s="143"/>
      <c r="K290" s="143"/>
      <c r="L290" s="198"/>
    </row>
    <row r="291" spans="1:12" x14ac:dyDescent="0.2">
      <c r="A291" s="208"/>
      <c r="B291" s="145"/>
      <c r="C291" s="150"/>
      <c r="D291" s="150"/>
      <c r="E291" s="194" t="s">
        <v>176</v>
      </c>
      <c r="F291" s="142"/>
      <c r="G291" s="142"/>
      <c r="H291" s="155"/>
      <c r="I291" s="155"/>
      <c r="J291" s="155"/>
      <c r="K291" s="155"/>
      <c r="L291" s="198"/>
    </row>
    <row r="292" spans="1:12" x14ac:dyDescent="0.2">
      <c r="A292" s="208"/>
      <c r="B292" s="145"/>
      <c r="C292" s="150"/>
      <c r="D292" s="150"/>
      <c r="E292" s="195" t="s">
        <v>100</v>
      </c>
      <c r="F292" s="142">
        <v>10</v>
      </c>
      <c r="G292" s="142" t="s">
        <v>15</v>
      </c>
      <c r="H292" s="155">
        <v>0</v>
      </c>
      <c r="I292" s="155">
        <v>0</v>
      </c>
      <c r="J292" s="143">
        <f>H292*F292</f>
        <v>0</v>
      </c>
      <c r="K292" s="143">
        <f>I292*F292</f>
        <v>0</v>
      </c>
      <c r="L292" s="198">
        <f>K292+J292</f>
        <v>0</v>
      </c>
    </row>
    <row r="293" spans="1:12" x14ac:dyDescent="0.2">
      <c r="A293" s="208"/>
      <c r="B293" s="145"/>
      <c r="C293" s="150"/>
      <c r="D293" s="150"/>
      <c r="E293" s="139"/>
      <c r="F293" s="142">
        <f>14</f>
        <v>14</v>
      </c>
      <c r="G293" s="142" t="s">
        <v>15</v>
      </c>
      <c r="H293" s="155">
        <v>0</v>
      </c>
      <c r="I293" s="155">
        <v>0</v>
      </c>
      <c r="J293" s="143">
        <f>H293*F293</f>
        <v>0</v>
      </c>
      <c r="K293" s="143">
        <f>I293*F293</f>
        <v>0</v>
      </c>
      <c r="L293" s="198">
        <f>K293+J293</f>
        <v>0</v>
      </c>
    </row>
    <row r="294" spans="1:12" x14ac:dyDescent="0.2">
      <c r="A294" s="208">
        <v>8</v>
      </c>
      <c r="B294" s="145"/>
      <c r="C294" s="150"/>
      <c r="D294" s="150"/>
      <c r="E294" s="139" t="s">
        <v>177</v>
      </c>
      <c r="F294" s="142"/>
      <c r="G294" s="142"/>
      <c r="H294" s="155"/>
      <c r="I294" s="155"/>
      <c r="J294" s="143"/>
      <c r="K294" s="143"/>
      <c r="L294" s="198"/>
    </row>
    <row r="295" spans="1:12" x14ac:dyDescent="0.2">
      <c r="A295" s="208">
        <v>9</v>
      </c>
      <c r="B295" s="145"/>
      <c r="C295" s="150"/>
      <c r="D295" s="150"/>
      <c r="E295" s="139" t="s">
        <v>178</v>
      </c>
      <c r="F295" s="142"/>
      <c r="G295" s="142"/>
      <c r="H295" s="155"/>
      <c r="I295" s="155"/>
      <c r="J295" s="155"/>
      <c r="K295" s="155"/>
      <c r="L295" s="198"/>
    </row>
    <row r="296" spans="1:12" x14ac:dyDescent="0.2">
      <c r="A296" s="208"/>
      <c r="B296" s="145"/>
      <c r="C296" s="150"/>
      <c r="D296" s="150"/>
      <c r="E296" s="195" t="s">
        <v>180</v>
      </c>
      <c r="F296" s="142">
        <v>3</v>
      </c>
      <c r="G296" s="142" t="s">
        <v>20</v>
      </c>
      <c r="H296" s="155">
        <v>0</v>
      </c>
      <c r="I296" s="155">
        <v>0</v>
      </c>
      <c r="J296" s="143">
        <f>H296*F296</f>
        <v>0</v>
      </c>
      <c r="K296" s="143">
        <f>I296*F296</f>
        <v>0</v>
      </c>
      <c r="L296" s="198">
        <f>K296+J296</f>
        <v>0</v>
      </c>
    </row>
    <row r="297" spans="1:12" x14ac:dyDescent="0.2">
      <c r="A297" s="208"/>
      <c r="B297" s="145"/>
      <c r="C297" s="150"/>
      <c r="D297" s="150"/>
      <c r="E297" s="139"/>
      <c r="F297" s="142"/>
      <c r="G297" s="142"/>
      <c r="H297" s="155"/>
      <c r="I297" s="155"/>
      <c r="J297" s="155"/>
      <c r="K297" s="155"/>
      <c r="L297" s="198"/>
    </row>
    <row r="298" spans="1:12" x14ac:dyDescent="0.2">
      <c r="A298" s="208">
        <v>10</v>
      </c>
      <c r="B298" s="145"/>
      <c r="C298" s="150"/>
      <c r="D298" s="150"/>
      <c r="E298" s="139" t="s">
        <v>179</v>
      </c>
      <c r="F298" s="142"/>
      <c r="G298" s="142"/>
      <c r="H298" s="155"/>
      <c r="I298" s="155"/>
      <c r="J298" s="143"/>
      <c r="K298" s="143"/>
      <c r="L298" s="198"/>
    </row>
    <row r="299" spans="1:12" x14ac:dyDescent="0.2">
      <c r="A299" s="208"/>
      <c r="B299" s="145"/>
      <c r="C299" s="150"/>
      <c r="D299" s="150"/>
      <c r="E299" s="194" t="s">
        <v>81</v>
      </c>
      <c r="F299" s="142"/>
      <c r="G299" s="142"/>
      <c r="H299" s="155"/>
      <c r="I299" s="155"/>
      <c r="J299" s="155"/>
      <c r="K299" s="155"/>
      <c r="L299" s="198"/>
    </row>
    <row r="300" spans="1:12" x14ac:dyDescent="0.2">
      <c r="A300" s="208"/>
      <c r="B300" s="145"/>
      <c r="C300" s="150"/>
      <c r="D300" s="150"/>
      <c r="E300" s="195" t="s">
        <v>100</v>
      </c>
      <c r="F300" s="142">
        <v>17</v>
      </c>
      <c r="G300" s="142" t="s">
        <v>15</v>
      </c>
      <c r="H300" s="155">
        <v>0</v>
      </c>
      <c r="I300" s="155">
        <v>0</v>
      </c>
      <c r="J300" s="143">
        <f>H300*F300</f>
        <v>0</v>
      </c>
      <c r="K300" s="143">
        <f>I300*F300</f>
        <v>0</v>
      </c>
      <c r="L300" s="198">
        <f>K300+J300</f>
        <v>0</v>
      </c>
    </row>
    <row r="301" spans="1:12" x14ac:dyDescent="0.2">
      <c r="A301" s="208"/>
      <c r="B301" s="145"/>
      <c r="C301" s="150"/>
      <c r="D301" s="150"/>
      <c r="E301" s="139"/>
      <c r="F301" s="142">
        <v>6</v>
      </c>
      <c r="G301" s="142" t="s">
        <v>15</v>
      </c>
      <c r="H301" s="155">
        <v>0</v>
      </c>
      <c r="I301" s="155">
        <v>0</v>
      </c>
      <c r="J301" s="143">
        <f>H301*F301</f>
        <v>0</v>
      </c>
      <c r="K301" s="143">
        <f>I301*F301</f>
        <v>0</v>
      </c>
      <c r="L301" s="198">
        <f>K301+J301</f>
        <v>0</v>
      </c>
    </row>
    <row r="302" spans="1:12" x14ac:dyDescent="0.2">
      <c r="A302" s="208">
        <v>11</v>
      </c>
      <c r="B302" s="145"/>
      <c r="C302" s="150"/>
      <c r="D302" s="150"/>
      <c r="E302" s="139" t="s">
        <v>181</v>
      </c>
      <c r="F302" s="142"/>
      <c r="G302" s="142"/>
      <c r="H302" s="155"/>
      <c r="I302" s="155"/>
      <c r="J302" s="143"/>
      <c r="K302" s="143"/>
      <c r="L302" s="198"/>
    </row>
    <row r="303" spans="1:12" x14ac:dyDescent="0.2">
      <c r="A303" s="208">
        <v>12</v>
      </c>
      <c r="B303" s="145"/>
      <c r="C303" s="150"/>
      <c r="D303" s="150"/>
      <c r="E303" s="139" t="s">
        <v>182</v>
      </c>
      <c r="F303" s="142"/>
      <c r="G303" s="142"/>
      <c r="H303" s="155"/>
      <c r="I303" s="155"/>
      <c r="J303" s="155"/>
      <c r="K303" s="155"/>
      <c r="L303" s="198"/>
    </row>
    <row r="304" spans="1:12" x14ac:dyDescent="0.2">
      <c r="A304" s="208"/>
      <c r="B304" s="145"/>
      <c r="C304" s="150"/>
      <c r="D304" s="150"/>
      <c r="E304" s="195" t="s">
        <v>101</v>
      </c>
      <c r="F304" s="142">
        <v>2</v>
      </c>
      <c r="G304" s="142" t="s">
        <v>20</v>
      </c>
      <c r="H304" s="155">
        <v>0</v>
      </c>
      <c r="I304" s="155">
        <v>0</v>
      </c>
      <c r="J304" s="143">
        <f>H304*F304</f>
        <v>0</v>
      </c>
      <c r="K304" s="143">
        <f>I304*F304</f>
        <v>0</v>
      </c>
      <c r="L304" s="198">
        <f t="shared" ref="L304" si="100">K304+J304</f>
        <v>0</v>
      </c>
    </row>
    <row r="305" spans="1:12" x14ac:dyDescent="0.2">
      <c r="A305" s="208"/>
      <c r="B305" s="145"/>
      <c r="C305" s="150"/>
      <c r="D305" s="150"/>
      <c r="E305" s="139"/>
      <c r="F305" s="142"/>
      <c r="G305" s="142"/>
      <c r="H305" s="155"/>
      <c r="I305" s="155"/>
      <c r="J305" s="155"/>
      <c r="K305" s="155"/>
      <c r="L305" s="198"/>
    </row>
    <row r="306" spans="1:12" x14ac:dyDescent="0.2">
      <c r="A306" s="208">
        <v>13</v>
      </c>
      <c r="B306" s="145"/>
      <c r="C306" s="150"/>
      <c r="D306" s="150"/>
      <c r="E306" s="139" t="s">
        <v>216</v>
      </c>
      <c r="F306" s="140"/>
      <c r="G306" s="142"/>
      <c r="H306" s="155"/>
      <c r="I306" s="155"/>
      <c r="J306" s="155"/>
      <c r="K306" s="155"/>
      <c r="L306" s="198"/>
    </row>
    <row r="307" spans="1:12" x14ac:dyDescent="0.2">
      <c r="A307" s="208"/>
      <c r="B307" s="145"/>
      <c r="C307" s="150"/>
      <c r="D307" s="150"/>
      <c r="E307" s="193" t="s">
        <v>214</v>
      </c>
      <c r="F307" s="142">
        <v>26</v>
      </c>
      <c r="G307" s="142" t="s">
        <v>20</v>
      </c>
      <c r="H307" s="155">
        <v>0</v>
      </c>
      <c r="I307" s="155">
        <v>0</v>
      </c>
      <c r="J307" s="143">
        <f>H307*F307</f>
        <v>0</v>
      </c>
      <c r="K307" s="143">
        <f>I307*F307</f>
        <v>0</v>
      </c>
      <c r="L307" s="198">
        <f>K307+J307</f>
        <v>0</v>
      </c>
    </row>
    <row r="308" spans="1:12" x14ac:dyDescent="0.2">
      <c r="A308" s="208"/>
      <c r="B308" s="145"/>
      <c r="C308" s="150"/>
      <c r="D308" s="150"/>
      <c r="E308" s="139"/>
      <c r="F308" s="142"/>
      <c r="G308" s="142"/>
      <c r="H308" s="155"/>
      <c r="I308" s="155"/>
      <c r="J308" s="155"/>
      <c r="K308" s="155"/>
      <c r="L308" s="198"/>
    </row>
    <row r="309" spans="1:12" x14ac:dyDescent="0.2">
      <c r="A309" s="208">
        <v>14</v>
      </c>
      <c r="B309" s="145"/>
      <c r="C309" s="150"/>
      <c r="D309" s="150"/>
      <c r="E309" s="139" t="s">
        <v>215</v>
      </c>
      <c r="F309" s="142">
        <v>1</v>
      </c>
      <c r="G309" s="142" t="s">
        <v>27</v>
      </c>
      <c r="H309" s="155"/>
      <c r="I309" s="143">
        <v>2000</v>
      </c>
      <c r="J309" s="143">
        <f>H309*F309</f>
        <v>0</v>
      </c>
      <c r="K309" s="143">
        <f>I309*F309</f>
        <v>2000</v>
      </c>
      <c r="L309" s="198">
        <f>K309+J309</f>
        <v>2000</v>
      </c>
    </row>
    <row r="310" spans="1:12" x14ac:dyDescent="0.2">
      <c r="A310" s="208"/>
      <c r="B310" s="145"/>
      <c r="C310" s="150"/>
      <c r="D310" s="150"/>
      <c r="E310" s="193" t="s">
        <v>102</v>
      </c>
      <c r="F310" s="140"/>
      <c r="G310" s="142"/>
      <c r="H310" s="155"/>
      <c r="I310" s="155"/>
      <c r="J310" s="199" t="s">
        <v>104</v>
      </c>
      <c r="K310" s="199" t="s">
        <v>105</v>
      </c>
      <c r="L310" s="198"/>
    </row>
    <row r="311" spans="1:12" x14ac:dyDescent="0.2">
      <c r="A311" s="208"/>
      <c r="B311" s="145"/>
      <c r="C311" s="150"/>
      <c r="D311" s="150"/>
      <c r="E311" s="196" t="s">
        <v>103</v>
      </c>
      <c r="F311" s="140"/>
      <c r="G311" s="142"/>
      <c r="H311" s="155"/>
      <c r="I311" s="155"/>
      <c r="J311" s="200">
        <f>SUM(J280:J309)</f>
        <v>0</v>
      </c>
      <c r="K311" s="200">
        <f>SUM(K280:K309)</f>
        <v>2000</v>
      </c>
      <c r="L311" s="198"/>
    </row>
    <row r="312" spans="1:12" x14ac:dyDescent="0.2">
      <c r="A312" s="208"/>
      <c r="B312" s="145"/>
      <c r="C312" s="150"/>
      <c r="D312" s="150"/>
      <c r="E312" s="139"/>
      <c r="F312" s="140"/>
      <c r="G312" s="142"/>
      <c r="H312" s="155"/>
      <c r="I312" s="205" t="s">
        <v>106</v>
      </c>
      <c r="J312" s="206">
        <v>6.6250000000000003E-2</v>
      </c>
      <c r="K312" s="207">
        <f>J312*K311</f>
        <v>132.5</v>
      </c>
      <c r="L312" s="198"/>
    </row>
    <row r="313" spans="1:12" ht="16.5" thickBot="1" x14ac:dyDescent="0.25">
      <c r="A313" s="209"/>
      <c r="B313" s="210"/>
      <c r="C313" s="211"/>
      <c r="D313" s="211"/>
      <c r="E313" s="197"/>
      <c r="F313" s="201"/>
      <c r="G313" s="202"/>
      <c r="H313" s="203"/>
      <c r="I313" s="203"/>
      <c r="J313" s="212"/>
      <c r="K313" s="212">
        <f>SUM(K311:K312)</f>
        <v>2132.5</v>
      </c>
      <c r="L313" s="204"/>
    </row>
  </sheetData>
  <pageMargins left="0.25" right="0.25" top="0.75" bottom="0.75" header="0.3" footer="0.3"/>
  <pageSetup scale="75" fitToHeight="0" orientation="landscape" r:id="rId1"/>
  <headerFooter>
    <oddHeader>&amp;C
&amp;G</oddHeader>
    <oddFooter>&amp;C&amp;P of &amp;N</oddFooter>
  </headerFooter>
  <rowBreaks count="2" manualBreakCount="2">
    <brk id="249" max="11" man="1"/>
    <brk id="278" max="11" man="1"/>
  </rowBreaks>
  <ignoredErrors>
    <ignoredError sqref="H273 H131 H276" formula="1"/>
  </ignoredErrors>
  <drawing r:id="rId2"/>
  <legacyDrawingHF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6144D6DC-9B58-4AA0-923E-518B59E0955B}">
  <ds:schemaRefs>
    <ds:schemaRef ds:uri="http://www.w3.org/2001/XMLSchema"/>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ESTIMATE</vt:lpstr>
      <vt:lpstr>ESTIMATE!Print_Area</vt:lpstr>
      <vt:lpstr>ESTIMATE!Print_Titles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2013-07-08T09:36:48Z</dcterms:created>
  <dcterms:modified xsi:type="dcterms:W3CDTF">2026-05-07T17:04:06Z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PS9Connected">
    <vt:bool>true</vt:bool>
  </property>
  <property fmtid="{D5CDD505-2E9C-101B-9397-08002B2CF9AE}" pid="3" name="PlanSwiftJobName">
    <vt:lpwstr/>
  </property>
  <property fmtid="{D5CDD505-2E9C-101B-9397-08002B2CF9AE}" pid="4" name="PlanSwiftJobGuid">
    <vt:lpwstr/>
  </property>
  <property fmtid="{D5CDD505-2E9C-101B-9397-08002B2CF9AE}" pid="5" name="LinkedDataId">
    <vt:lpwstr>{6144D6DC-9B58-4AA0-923E-518B59E0955B}</vt:lpwstr>
  </property>
</Properties>
</file>