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filterPrivacy="1" codeName="ThisWorkbook" defaultThemeVersion="124226"/>
  <xr:revisionPtr revIDLastSave="702" documentId="13_ncr:1_{D63C70DE-5C99-4446-91AC-86521EEA7310}" xr6:coauthVersionLast="47" xr6:coauthVersionMax="47" xr10:uidLastSave="{8EB70266-DC50-4353-A490-9C58C397E93A}"/>
  <bookViews>
    <workbookView xWindow="20370" yWindow="-120" windowWidth="29040" windowHeight="15840" tabRatio="822" xr2:uid="{00000000-000D-0000-FFFF-FFFF00000000}"/>
  </bookViews>
  <sheets>
    <sheet name="DETAILED ESTIMATE" sheetId="12" r:id="rId1"/>
  </sheets>
  <definedNames>
    <definedName name="_xlnm._FilterDatabase" localSheetId="0" hidden="1">'DETAILED ESTIMATE'!$E$1:$E$968</definedName>
    <definedName name="BRICK">#REF!</definedName>
    <definedName name="CARP">#REF!</definedName>
    <definedName name="CARPET">#REF!</definedName>
    <definedName name="ELECT">#REF!</definedName>
    <definedName name="FINISH">#REF!</definedName>
    <definedName name="GLAZER">#REF!</definedName>
    <definedName name="IRON">#REF!</definedName>
    <definedName name="LABOR">#REF!</definedName>
    <definedName name="OPER">#REF!</definedName>
    <definedName name="PAINT">#REF!</definedName>
    <definedName name="PAR">#REF!</definedName>
    <definedName name="PLUMB">#REF!</definedName>
    <definedName name="_xlnm.Print_Area" localSheetId="0">'DETAILED ESTIMATE'!$A$1:$M$968</definedName>
    <definedName name="Print_Area_MI">#REF!</definedName>
    <definedName name="_xlnm.Print_Titles" localSheetId="0">'DETAILED ESTIMATE'!$1:$6</definedName>
    <definedName name="ROOF">#REF!</definedName>
    <definedName name="SM">#REF!</definedName>
    <definedName name="SPRINKLER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1" i="12" l="1"/>
  <c r="A12" i="12"/>
  <c r="A13" i="12"/>
  <c r="A14" i="12"/>
  <c r="A15" i="12"/>
  <c r="A16" i="12"/>
  <c r="A17" i="12"/>
  <c r="A23" i="12"/>
  <c r="A30" i="12"/>
  <c r="A36" i="12"/>
  <c r="A42" i="12"/>
  <c r="A43" i="12"/>
  <c r="A44" i="12"/>
  <c r="A49" i="12"/>
  <c r="A50" i="12"/>
  <c r="A55" i="12"/>
  <c r="A56" i="12"/>
  <c r="A61" i="12"/>
  <c r="A62" i="12"/>
  <c r="A67" i="12"/>
  <c r="A69" i="12"/>
  <c r="A70" i="12"/>
  <c r="A71" i="12"/>
  <c r="A72" i="12"/>
  <c r="A73" i="12"/>
  <c r="A82" i="12"/>
  <c r="A83" i="12"/>
  <c r="A92" i="12"/>
  <c r="A93" i="12"/>
  <c r="A101" i="12"/>
  <c r="A102" i="12"/>
  <c r="A110" i="12"/>
  <c r="A111" i="12"/>
  <c r="A119" i="12"/>
  <c r="A120" i="12"/>
  <c r="A129" i="12"/>
  <c r="A130" i="12"/>
  <c r="A139" i="12"/>
  <c r="A140" i="12"/>
  <c r="A141" i="12"/>
  <c r="A149" i="12"/>
  <c r="A150" i="12"/>
  <c r="A158" i="12"/>
  <c r="A159" i="12"/>
  <c r="A167" i="12"/>
  <c r="A168" i="12"/>
  <c r="A176" i="12"/>
  <c r="A177" i="12"/>
  <c r="A185" i="12"/>
  <c r="A186" i="12"/>
  <c r="A194" i="12"/>
  <c r="A195" i="12"/>
  <c r="A203" i="12"/>
  <c r="A204" i="12"/>
  <c r="A205" i="12"/>
  <c r="A206" i="12"/>
  <c r="A207" i="12"/>
  <c r="A216" i="12"/>
  <c r="A217" i="12"/>
  <c r="A218" i="12"/>
  <c r="A228" i="12"/>
  <c r="A229" i="12"/>
  <c r="A230" i="12"/>
  <c r="A231" i="12"/>
  <c r="A237" i="12"/>
  <c r="A241" i="12"/>
  <c r="A242" i="12"/>
  <c r="A243" i="12"/>
  <c r="A244" i="12"/>
  <c r="A252" i="12"/>
  <c r="A253" i="12"/>
  <c r="A254" i="12"/>
  <c r="A255" i="12"/>
  <c r="A256" i="12"/>
  <c r="A257" i="12"/>
  <c r="A260" i="12"/>
  <c r="A261" i="12"/>
  <c r="A262" i="12"/>
  <c r="A267" i="12"/>
  <c r="A268" i="12"/>
  <c r="A273" i="12"/>
  <c r="A274" i="12"/>
  <c r="A279" i="12"/>
  <c r="A280" i="12"/>
  <c r="A285" i="12"/>
  <c r="A286" i="12"/>
  <c r="A291" i="12"/>
  <c r="A292" i="12"/>
  <c r="A293" i="12"/>
  <c r="A298" i="12"/>
  <c r="A299" i="12"/>
  <c r="A304" i="12"/>
  <c r="A305" i="12"/>
  <c r="A306" i="12"/>
  <c r="A311" i="12"/>
  <c r="A312" i="12"/>
  <c r="A317" i="12"/>
  <c r="A318" i="12"/>
  <c r="A319" i="12"/>
  <c r="A320" i="12"/>
  <c r="A322" i="12"/>
  <c r="A323" i="12"/>
  <c r="A324" i="12"/>
  <c r="A325" i="12"/>
  <c r="A330" i="12"/>
  <c r="A331" i="12"/>
  <c r="A332" i="12"/>
  <c r="A333" i="12"/>
  <c r="A334" i="12"/>
  <c r="A335" i="12"/>
  <c r="A337" i="12"/>
  <c r="A343" i="12"/>
  <c r="A345" i="12"/>
  <c r="A348" i="12"/>
  <c r="A351" i="12"/>
  <c r="A354" i="12"/>
  <c r="A357" i="12"/>
  <c r="A358" i="12"/>
  <c r="A359" i="12"/>
  <c r="A360" i="12"/>
  <c r="A362" i="12"/>
  <c r="A363" i="12"/>
  <c r="A364" i="12"/>
  <c r="A365" i="12"/>
  <c r="A367" i="12"/>
  <c r="A368" i="12"/>
  <c r="A369" i="12"/>
  <c r="A370" i="12"/>
  <c r="A374" i="12"/>
  <c r="A375" i="12"/>
  <c r="A376" i="12"/>
  <c r="A377" i="12"/>
  <c r="A378" i="12"/>
  <c r="A380" i="12"/>
  <c r="A381" i="12"/>
  <c r="A382" i="12"/>
  <c r="A383" i="12"/>
  <c r="A385" i="12"/>
  <c r="A386" i="12"/>
  <c r="A387" i="12"/>
  <c r="A388" i="12"/>
  <c r="A391" i="12"/>
  <c r="A392" i="12"/>
  <c r="A393" i="12"/>
  <c r="A394" i="12"/>
  <c r="A396" i="12"/>
  <c r="A397" i="12"/>
  <c r="A398" i="12"/>
  <c r="A399" i="12"/>
  <c r="A402" i="12"/>
  <c r="A403" i="12"/>
  <c r="A404" i="12"/>
  <c r="A405" i="12"/>
  <c r="A406" i="12"/>
  <c r="A409" i="12"/>
  <c r="A410" i="12"/>
  <c r="A411" i="12"/>
  <c r="A412" i="12"/>
  <c r="A423" i="12"/>
  <c r="A424" i="12"/>
  <c r="A425" i="12"/>
  <c r="A426" i="12"/>
  <c r="A427" i="12"/>
  <c r="A428" i="12"/>
  <c r="A442" i="12"/>
  <c r="A444" i="12"/>
  <c r="A446" i="12"/>
  <c r="A447" i="12"/>
  <c r="A453" i="12"/>
  <c r="A454" i="12"/>
  <c r="A455" i="12"/>
  <c r="A458" i="12"/>
  <c r="A459" i="12"/>
  <c r="A460" i="12"/>
  <c r="A462" i="12"/>
  <c r="A463" i="12"/>
  <c r="A478" i="12"/>
  <c r="A479" i="12"/>
  <c r="A480" i="12"/>
  <c r="A481" i="12"/>
  <c r="A482" i="12"/>
  <c r="A483" i="12"/>
  <c r="A484" i="12"/>
  <c r="A486" i="12"/>
  <c r="A487" i="12"/>
  <c r="A488" i="12"/>
  <c r="A489" i="12"/>
  <c r="A492" i="12"/>
  <c r="A493" i="12"/>
  <c r="A495" i="12"/>
  <c r="A496" i="12"/>
  <c r="A497" i="12"/>
  <c r="A498" i="12"/>
  <c r="A501" i="12"/>
  <c r="A502" i="12"/>
  <c r="A504" i="12"/>
  <c r="A505" i="12"/>
  <c r="A506" i="12"/>
  <c r="A507" i="12"/>
  <c r="A510" i="12"/>
  <c r="A511" i="12"/>
  <c r="A513" i="12"/>
  <c r="A514" i="12"/>
  <c r="A515" i="12"/>
  <c r="A516" i="12"/>
  <c r="A519" i="12"/>
  <c r="A520" i="12"/>
  <c r="A521" i="12"/>
  <c r="A524" i="12"/>
  <c r="A525" i="12"/>
  <c r="A526" i="12"/>
  <c r="A527" i="12"/>
  <c r="A530" i="12"/>
  <c r="A531" i="12"/>
  <c r="A533" i="12"/>
  <c r="A534" i="12"/>
  <c r="A535" i="12"/>
  <c r="A536" i="12"/>
  <c r="A539" i="12"/>
  <c r="A540" i="12"/>
  <c r="A543" i="12"/>
  <c r="A544" i="12"/>
  <c r="A545" i="12"/>
  <c r="A546" i="12"/>
  <c r="A549" i="12"/>
  <c r="A550" i="12"/>
  <c r="A553" i="12"/>
  <c r="A554" i="12"/>
  <c r="A555" i="12"/>
  <c r="A556" i="12"/>
  <c r="A559" i="12"/>
  <c r="A560" i="12"/>
  <c r="A562" i="12"/>
  <c r="A563" i="12"/>
  <c r="A564" i="12"/>
  <c r="A565" i="12"/>
  <c r="A569" i="12"/>
  <c r="A570" i="12"/>
  <c r="A572" i="12"/>
  <c r="A573" i="12"/>
  <c r="A574" i="12"/>
  <c r="A575" i="12"/>
  <c r="A579" i="12"/>
  <c r="A580" i="12"/>
  <c r="A583" i="12"/>
  <c r="A584" i="12"/>
  <c r="A585" i="12"/>
  <c r="A586" i="12"/>
  <c r="A590" i="12"/>
  <c r="A591" i="12"/>
  <c r="A593" i="12"/>
  <c r="A594" i="12"/>
  <c r="A595" i="12"/>
  <c r="A596" i="12"/>
  <c r="A602" i="12"/>
  <c r="A603" i="12"/>
  <c r="A605" i="12"/>
  <c r="A606" i="12"/>
  <c r="A607" i="12"/>
  <c r="A608" i="12"/>
  <c r="A614" i="12"/>
  <c r="A615" i="12"/>
  <c r="A617" i="12"/>
  <c r="A618" i="12"/>
  <c r="A619" i="12"/>
  <c r="A620" i="12"/>
  <c r="A626" i="12"/>
  <c r="A627" i="12"/>
  <c r="A629" i="12"/>
  <c r="A630" i="12"/>
  <c r="A631" i="12"/>
  <c r="A632" i="12"/>
  <c r="A635" i="12"/>
  <c r="A636" i="12"/>
  <c r="A638" i="12"/>
  <c r="A639" i="12"/>
  <c r="A640" i="12"/>
  <c r="A641" i="12"/>
  <c r="A644" i="12"/>
  <c r="A645" i="12"/>
  <c r="A647" i="12"/>
  <c r="A648" i="12"/>
  <c r="A649" i="12"/>
  <c r="A650" i="12"/>
  <c r="A653" i="12"/>
  <c r="A654" i="12"/>
  <c r="A655" i="12"/>
  <c r="A658" i="12"/>
  <c r="A659" i="12"/>
  <c r="A660" i="12"/>
  <c r="A661" i="12"/>
  <c r="A664" i="12"/>
  <c r="A665" i="12"/>
  <c r="A667" i="12"/>
  <c r="A668" i="12"/>
  <c r="A669" i="12"/>
  <c r="A670" i="12"/>
  <c r="A673" i="12"/>
  <c r="A674" i="12"/>
  <c r="A677" i="12"/>
  <c r="A678" i="12"/>
  <c r="A679" i="12"/>
  <c r="A680" i="12"/>
  <c r="A683" i="12"/>
  <c r="A684" i="12"/>
  <c r="A687" i="12"/>
  <c r="A688" i="12"/>
  <c r="A689" i="12"/>
  <c r="A690" i="12"/>
  <c r="A693" i="12"/>
  <c r="A694" i="12"/>
  <c r="A696" i="12"/>
  <c r="A697" i="12"/>
  <c r="A698" i="12"/>
  <c r="A699" i="12"/>
  <c r="A703" i="12"/>
  <c r="A704" i="12"/>
  <c r="A706" i="12"/>
  <c r="A707" i="12"/>
  <c r="A708" i="12"/>
  <c r="A709" i="12"/>
  <c r="A713" i="12"/>
  <c r="A714" i="12"/>
  <c r="A717" i="12"/>
  <c r="A718" i="12"/>
  <c r="A719" i="12"/>
  <c r="A720" i="12"/>
  <c r="A724" i="12"/>
  <c r="A725" i="12"/>
  <c r="A727" i="12"/>
  <c r="A728" i="12"/>
  <c r="A729" i="12"/>
  <c r="A730" i="12"/>
  <c r="A736" i="12"/>
  <c r="A737" i="12"/>
  <c r="A739" i="12"/>
  <c r="A740" i="12"/>
  <c r="A741" i="12"/>
  <c r="A742" i="12"/>
  <c r="A748" i="12"/>
  <c r="A749" i="12"/>
  <c r="A751" i="12"/>
  <c r="A752" i="12"/>
  <c r="A753" i="12"/>
  <c r="A754" i="12"/>
  <c r="A760" i="12"/>
  <c r="A761" i="12"/>
  <c r="A763" i="12"/>
  <c r="A764" i="12"/>
  <c r="A765" i="12"/>
  <c r="A766" i="12"/>
  <c r="A769" i="12"/>
  <c r="A770" i="12"/>
  <c r="A772" i="12"/>
  <c r="A773" i="12"/>
  <c r="A774" i="12"/>
  <c r="A775" i="12"/>
  <c r="A778" i="12"/>
  <c r="A779" i="12"/>
  <c r="A781" i="12"/>
  <c r="A782" i="12"/>
  <c r="A783" i="12"/>
  <c r="A784" i="12"/>
  <c r="A787" i="12"/>
  <c r="A788" i="12"/>
  <c r="A789" i="12"/>
  <c r="A791" i="12"/>
  <c r="A792" i="12"/>
  <c r="A793" i="12"/>
  <c r="A794" i="12"/>
  <c r="A797" i="12"/>
  <c r="A798" i="12"/>
  <c r="A799" i="12"/>
  <c r="A800" i="12"/>
  <c r="A805" i="12"/>
  <c r="A806" i="12"/>
  <c r="A807" i="12"/>
  <c r="A808" i="12"/>
  <c r="A810" i="12"/>
  <c r="A811" i="12"/>
  <c r="A812" i="12"/>
  <c r="A813" i="12"/>
  <c r="A819" i="12"/>
  <c r="A820" i="12"/>
  <c r="A821" i="12"/>
  <c r="A822" i="12"/>
  <c r="A824" i="12"/>
  <c r="A825" i="12"/>
  <c r="A826" i="12"/>
  <c r="A827" i="12"/>
  <c r="A829" i="12"/>
  <c r="A830" i="12"/>
  <c r="A831" i="12"/>
  <c r="A832" i="12"/>
  <c r="A834" i="12"/>
  <c r="A835" i="12"/>
  <c r="A836" i="12"/>
  <c r="A837" i="12"/>
  <c r="A839" i="12"/>
  <c r="A840" i="12"/>
  <c r="A841" i="12"/>
  <c r="A842" i="12"/>
  <c r="A844" i="12"/>
  <c r="A845" i="12"/>
  <c r="A846" i="12"/>
  <c r="A847" i="12"/>
  <c r="A849" i="12"/>
  <c r="A850" i="12"/>
  <c r="A851" i="12"/>
  <c r="A852" i="12"/>
  <c r="A854" i="12"/>
  <c r="A855" i="12"/>
  <c r="A856" i="12"/>
  <c r="A857" i="12"/>
  <c r="A861" i="12"/>
  <c r="A862" i="12"/>
  <c r="A863" i="12"/>
  <c r="A864" i="12"/>
  <c r="A865" i="12"/>
  <c r="A868" i="12"/>
  <c r="A871" i="12"/>
  <c r="A874" i="12"/>
  <c r="A876" i="12"/>
  <c r="A879" i="12"/>
  <c r="A880" i="12"/>
  <c r="A881" i="12"/>
  <c r="A882" i="12"/>
  <c r="A884" i="12"/>
  <c r="A885" i="12"/>
  <c r="A886" i="12"/>
  <c r="A887" i="12"/>
  <c r="A892" i="12"/>
  <c r="A893" i="12"/>
  <c r="A894" i="12"/>
  <c r="A895" i="12"/>
  <c r="A896" i="12"/>
  <c r="A903" i="12"/>
  <c r="A904" i="12"/>
  <c r="A905" i="12"/>
  <c r="A906" i="12"/>
  <c r="A908" i="12"/>
  <c r="A909" i="12"/>
  <c r="A910" i="12"/>
  <c r="A911" i="12"/>
  <c r="A917" i="12"/>
  <c r="A918" i="12"/>
  <c r="A919" i="12"/>
  <c r="A920" i="12"/>
  <c r="A922" i="12"/>
  <c r="A923" i="12"/>
  <c r="A925" i="12"/>
  <c r="A926" i="12"/>
  <c r="A927" i="12"/>
  <c r="A935" i="12"/>
  <c r="A936" i="12"/>
  <c r="A937" i="12"/>
  <c r="A938" i="12"/>
  <c r="A939" i="12"/>
  <c r="A942" i="12"/>
  <c r="A945" i="12"/>
  <c r="A947" i="12"/>
  <c r="A952" i="12"/>
  <c r="A954" i="12"/>
  <c r="A955" i="12"/>
  <c r="A957" i="12"/>
  <c r="A958" i="12"/>
  <c r="A959" i="12"/>
  <c r="A960" i="12"/>
  <c r="A963" i="12"/>
  <c r="F373" i="12"/>
  <c r="H373" i="12" s="1"/>
  <c r="K373" i="12" s="1"/>
  <c r="F372" i="12"/>
  <c r="F371" i="12"/>
  <c r="F366" i="12"/>
  <c r="H366" i="12" s="1"/>
  <c r="K366" i="12" s="1"/>
  <c r="L368" i="12" s="1"/>
  <c r="F400" i="12"/>
  <c r="F900" i="12"/>
  <c r="H900" i="12" s="1"/>
  <c r="K900" i="12" s="1"/>
  <c r="F899" i="12"/>
  <c r="H899" i="12" s="1"/>
  <c r="K899" i="12" s="1"/>
  <c r="F898" i="12"/>
  <c r="H898" i="12" s="1"/>
  <c r="K898" i="12" s="1"/>
  <c r="F897" i="12"/>
  <c r="H897" i="12" s="1"/>
  <c r="K897" i="12" s="1"/>
  <c r="H902" i="12"/>
  <c r="H901" i="12"/>
  <c r="K901" i="12" s="1"/>
  <c r="H956" i="12"/>
  <c r="K956" i="12" s="1"/>
  <c r="L958" i="12" s="1"/>
  <c r="J225" i="12"/>
  <c r="H372" i="12" l="1"/>
  <c r="K372" i="12" s="1"/>
  <c r="K902" i="12"/>
  <c r="L904" i="12" s="1"/>
  <c r="J355" i="12"/>
  <c r="F355" i="12"/>
  <c r="H355" i="12" s="1"/>
  <c r="F350" i="12"/>
  <c r="H350" i="12" s="1"/>
  <c r="F349" i="12"/>
  <c r="H349" i="12" s="1"/>
  <c r="J349" i="12"/>
  <c r="J350" i="12"/>
  <c r="F347" i="12"/>
  <c r="F353" i="12"/>
  <c r="H353" i="12" s="1"/>
  <c r="K353" i="12" s="1"/>
  <c r="J347" i="12"/>
  <c r="F346" i="12"/>
  <c r="F352" i="12"/>
  <c r="H352" i="12" s="1"/>
  <c r="K352" i="12" s="1"/>
  <c r="J346" i="12"/>
  <c r="J344" i="12"/>
  <c r="F344" i="12"/>
  <c r="H344" i="12" s="1"/>
  <c r="J339" i="12"/>
  <c r="J340" i="12"/>
  <c r="J341" i="12"/>
  <c r="J342" i="12"/>
  <c r="J338" i="12"/>
  <c r="F336" i="12"/>
  <c r="H336" i="12" s="1"/>
  <c r="K336" i="12" s="1"/>
  <c r="F342" i="12"/>
  <c r="H342" i="12" s="1"/>
  <c r="F341" i="12"/>
  <c r="F340" i="12"/>
  <c r="H340" i="12" s="1"/>
  <c r="F339" i="12"/>
  <c r="H339" i="12" s="1"/>
  <c r="F338" i="12"/>
  <c r="H338" i="12" s="1"/>
  <c r="H356" i="12"/>
  <c r="K356" i="12" s="1"/>
  <c r="K355" i="12" l="1"/>
  <c r="K340" i="12"/>
  <c r="K350" i="12"/>
  <c r="K349" i="12"/>
  <c r="K339" i="12"/>
  <c r="H347" i="12"/>
  <c r="K347" i="12" s="1"/>
  <c r="H346" i="12"/>
  <c r="K346" i="12" s="1"/>
  <c r="K344" i="12"/>
  <c r="K342" i="12"/>
  <c r="K338" i="12"/>
  <c r="H341" i="12"/>
  <c r="K341" i="12" s="1"/>
  <c r="L358" i="12" l="1"/>
  <c r="F209" i="12" l="1"/>
  <c r="A964" i="12" l="1"/>
  <c r="H848" i="12"/>
  <c r="K848" i="12" s="1"/>
  <c r="L850" i="12" s="1"/>
  <c r="H916" i="12"/>
  <c r="K916" i="12" s="1"/>
  <c r="H915" i="12"/>
  <c r="K915" i="12" s="1"/>
  <c r="H914" i="12"/>
  <c r="K914" i="12" s="1"/>
  <c r="H913" i="12"/>
  <c r="K913" i="12" s="1"/>
  <c r="H912" i="12"/>
  <c r="K912" i="12" s="1"/>
  <c r="H907" i="12"/>
  <c r="K907" i="12" s="1"/>
  <c r="L909" i="12" s="1"/>
  <c r="F888" i="12"/>
  <c r="F883" i="12"/>
  <c r="H883" i="12" s="1"/>
  <c r="K883" i="12" s="1"/>
  <c r="H361" i="12"/>
  <c r="K361" i="12" s="1"/>
  <c r="L363" i="12" s="1"/>
  <c r="F950" i="12"/>
  <c r="H950" i="12" s="1"/>
  <c r="K950" i="12" s="1"/>
  <c r="L918" i="12" l="1"/>
  <c r="L885" i="12"/>
  <c r="H921" i="12" l="1"/>
  <c r="K921" i="12" s="1"/>
  <c r="L923" i="12" s="1"/>
  <c r="J941" i="12"/>
  <c r="F889" i="12"/>
  <c r="H422" i="12"/>
  <c r="K422" i="12" s="1"/>
  <c r="H421" i="12"/>
  <c r="K421" i="12" s="1"/>
  <c r="F420" i="12"/>
  <c r="H420" i="12" s="1"/>
  <c r="K420" i="12" s="1"/>
  <c r="H371" i="12"/>
  <c r="J578" i="12"/>
  <c r="J589" i="12"/>
  <c r="J702" i="12"/>
  <c r="J712" i="12"/>
  <c r="J723" i="12"/>
  <c r="J786" i="12"/>
  <c r="J796" i="12"/>
  <c r="J612" i="12"/>
  <c r="J624" i="12"/>
  <c r="J734" i="12"/>
  <c r="J746" i="12"/>
  <c r="J758" i="12"/>
  <c r="J610" i="12"/>
  <c r="J622" i="12"/>
  <c r="J732" i="12"/>
  <c r="J744" i="12"/>
  <c r="J756" i="12"/>
  <c r="J613" i="12"/>
  <c r="J625" i="12"/>
  <c r="J735" i="12"/>
  <c r="J747" i="12"/>
  <c r="J759" i="12"/>
  <c r="J567" i="12"/>
  <c r="J577" i="12"/>
  <c r="J588" i="12"/>
  <c r="J599" i="12"/>
  <c r="J611" i="12"/>
  <c r="J623" i="12"/>
  <c r="J634" i="12"/>
  <c r="J692" i="12"/>
  <c r="J701" i="12"/>
  <c r="J711" i="12"/>
  <c r="J722" i="12"/>
  <c r="J733" i="12"/>
  <c r="J745" i="12"/>
  <c r="J757" i="12"/>
  <c r="J768" i="12"/>
  <c r="J643" i="12"/>
  <c r="J777" i="12"/>
  <c r="A965" i="12"/>
  <c r="H961" i="12"/>
  <c r="K961" i="12" s="1"/>
  <c r="J726" i="12"/>
  <c r="J716" i="12"/>
  <c r="J561" i="12"/>
  <c r="J571" i="12"/>
  <c r="J581" i="12"/>
  <c r="J604" i="12"/>
  <c r="J616" i="12"/>
  <c r="J628" i="12"/>
  <c r="J646" i="12"/>
  <c r="J695" i="12"/>
  <c r="J705" i="12"/>
  <c r="J715" i="12"/>
  <c r="J738" i="12"/>
  <c r="J750" i="12"/>
  <c r="J762" i="12"/>
  <c r="J780" i="12"/>
  <c r="J790" i="12"/>
  <c r="J532" i="12"/>
  <c r="J542" i="12"/>
  <c r="J552" i="12"/>
  <c r="J657" i="12"/>
  <c r="J666" i="12"/>
  <c r="J676" i="12"/>
  <c r="J686" i="12"/>
  <c r="J682" i="12"/>
  <c r="J529" i="12"/>
  <c r="J538" i="12"/>
  <c r="J663" i="12"/>
  <c r="J672" i="12"/>
  <c r="J499" i="12"/>
  <c r="J508" i="12"/>
  <c r="J517" i="12"/>
  <c r="J528" i="12"/>
  <c r="J537" i="12"/>
  <c r="J547" i="12"/>
  <c r="J557" i="12"/>
  <c r="J566" i="12"/>
  <c r="J576" i="12"/>
  <c r="J587" i="12"/>
  <c r="J597" i="12"/>
  <c r="J609" i="12"/>
  <c r="J621" i="12"/>
  <c r="J633" i="12"/>
  <c r="J642" i="12"/>
  <c r="J651" i="12"/>
  <c r="J662" i="12"/>
  <c r="J671" i="12"/>
  <c r="J681" i="12"/>
  <c r="J691" i="12"/>
  <c r="J700" i="12"/>
  <c r="J710" i="12"/>
  <c r="J721" i="12"/>
  <c r="J731" i="12"/>
  <c r="J743" i="12"/>
  <c r="J755" i="12"/>
  <c r="J767" i="12"/>
  <c r="J776" i="12"/>
  <c r="J785" i="12"/>
  <c r="J795" i="12"/>
  <c r="J494" i="12"/>
  <c r="J503" i="12"/>
  <c r="J522" i="12"/>
  <c r="J541" i="12"/>
  <c r="J551" i="12"/>
  <c r="J637" i="12"/>
  <c r="J656" i="12"/>
  <c r="J675" i="12"/>
  <c r="J685" i="12"/>
  <c r="J771" i="12"/>
  <c r="J457" i="12"/>
  <c r="J456" i="12"/>
  <c r="J448" i="12"/>
  <c r="J449" i="12"/>
  <c r="J450" i="12"/>
  <c r="J451" i="12"/>
  <c r="J452" i="12"/>
  <c r="F443" i="12"/>
  <c r="H443" i="12" s="1"/>
  <c r="F395" i="12"/>
  <c r="J329" i="12"/>
  <c r="J276" i="12"/>
  <c r="J288" i="12"/>
  <c r="J295" i="12"/>
  <c r="J301" i="12"/>
  <c r="J308" i="12"/>
  <c r="J314" i="12"/>
  <c r="J272" i="12"/>
  <c r="J278" i="12"/>
  <c r="J284" i="12"/>
  <c r="J290" i="12"/>
  <c r="J297" i="12"/>
  <c r="J303" i="12"/>
  <c r="J310" i="12"/>
  <c r="J316" i="12"/>
  <c r="J265" i="12"/>
  <c r="J271" i="12"/>
  <c r="J277" i="12"/>
  <c r="J283" i="12"/>
  <c r="J289" i="12"/>
  <c r="J296" i="12"/>
  <c r="J302" i="12"/>
  <c r="J309" i="12"/>
  <c r="J315" i="12"/>
  <c r="J282" i="12"/>
  <c r="J281" i="12"/>
  <c r="K371" i="12" l="1"/>
  <c r="L375" i="12" s="1"/>
  <c r="L964" i="12"/>
  <c r="J263" i="12"/>
  <c r="J294" i="12"/>
  <c r="J300" i="12"/>
  <c r="J307" i="12"/>
  <c r="J313" i="12"/>
  <c r="J287" i="12"/>
  <c r="F259" i="12"/>
  <c r="H259" i="12" s="1"/>
  <c r="F258" i="12"/>
  <c r="H258" i="12" s="1"/>
  <c r="K258" i="12" s="1"/>
  <c r="K259" i="12" l="1"/>
  <c r="H251" i="12" l="1"/>
  <c r="K251" i="12" s="1"/>
  <c r="J250" i="12"/>
  <c r="F250" i="12"/>
  <c r="J249" i="12"/>
  <c r="F249" i="12"/>
  <c r="H249" i="12" s="1"/>
  <c r="J248" i="12"/>
  <c r="F248" i="12"/>
  <c r="H248" i="12" s="1"/>
  <c r="J247" i="12"/>
  <c r="F246" i="12"/>
  <c r="H246" i="12" s="1"/>
  <c r="K246" i="12" s="1"/>
  <c r="J245" i="12"/>
  <c r="F245" i="12"/>
  <c r="F247" i="12" s="1"/>
  <c r="J240" i="12"/>
  <c r="H239" i="12"/>
  <c r="K239" i="12" s="1"/>
  <c r="J238" i="12"/>
  <c r="F238" i="12"/>
  <c r="H238" i="12" s="1"/>
  <c r="F236" i="12"/>
  <c r="H236" i="12" s="1"/>
  <c r="K236" i="12" s="1"/>
  <c r="F235" i="12"/>
  <c r="F234" i="12"/>
  <c r="H234" i="12" s="1"/>
  <c r="K234" i="12" s="1"/>
  <c r="F233" i="12"/>
  <c r="H232" i="12"/>
  <c r="D232" i="12" s="1"/>
  <c r="H227" i="12"/>
  <c r="K227" i="12" s="1"/>
  <c r="J226" i="12"/>
  <c r="F226" i="12"/>
  <c r="F225" i="12"/>
  <c r="H224" i="12"/>
  <c r="K224" i="12" s="1"/>
  <c r="F223" i="12"/>
  <c r="H223" i="12" s="1"/>
  <c r="K223" i="12" s="1"/>
  <c r="J222" i="12"/>
  <c r="F222" i="12"/>
  <c r="J221" i="12"/>
  <c r="F221" i="12"/>
  <c r="H221" i="12" s="1"/>
  <c r="J220" i="12"/>
  <c r="F220" i="12"/>
  <c r="H220" i="12" s="1"/>
  <c r="J219" i="12"/>
  <c r="F219" i="12"/>
  <c r="H219" i="12" s="1"/>
  <c r="F215" i="12"/>
  <c r="H215" i="12" s="1"/>
  <c r="K215" i="12" s="1"/>
  <c r="H214" i="12"/>
  <c r="K214" i="12" s="1"/>
  <c r="F213" i="12"/>
  <c r="H213" i="12" s="1"/>
  <c r="K213" i="12" s="1"/>
  <c r="F212" i="12"/>
  <c r="H212" i="12" s="1"/>
  <c r="K212" i="12" s="1"/>
  <c r="F211" i="12"/>
  <c r="H211" i="12" s="1"/>
  <c r="K211" i="12" s="1"/>
  <c r="J210" i="12"/>
  <c r="F210" i="12"/>
  <c r="H210" i="12" s="1"/>
  <c r="J209" i="12"/>
  <c r="J208" i="12"/>
  <c r="F208" i="12"/>
  <c r="H208" i="12" s="1"/>
  <c r="J202" i="12"/>
  <c r="F202" i="12"/>
  <c r="H202" i="12" s="1"/>
  <c r="J201" i="12"/>
  <c r="F201" i="12"/>
  <c r="H201" i="12" s="1"/>
  <c r="J200" i="12"/>
  <c r="F200" i="12"/>
  <c r="J199" i="12"/>
  <c r="J198" i="12"/>
  <c r="F198" i="12"/>
  <c r="J197" i="12"/>
  <c r="F197" i="12"/>
  <c r="H197" i="12" s="1"/>
  <c r="J196" i="12"/>
  <c r="F196" i="12"/>
  <c r="H196" i="12" s="1"/>
  <c r="J193" i="12"/>
  <c r="F193" i="12"/>
  <c r="J192" i="12"/>
  <c r="F192" i="12"/>
  <c r="H192" i="12" s="1"/>
  <c r="J191" i="12"/>
  <c r="F191" i="12"/>
  <c r="H191" i="12" s="1"/>
  <c r="J190" i="12"/>
  <c r="J189" i="12"/>
  <c r="F189" i="12"/>
  <c r="J188" i="12"/>
  <c r="F188" i="12"/>
  <c r="H188" i="12" s="1"/>
  <c r="J187" i="12"/>
  <c r="F187" i="12"/>
  <c r="H187" i="12" s="1"/>
  <c r="J184" i="12"/>
  <c r="F184" i="12"/>
  <c r="H184" i="12" s="1"/>
  <c r="J183" i="12"/>
  <c r="F183" i="12"/>
  <c r="H183" i="12" s="1"/>
  <c r="J182" i="12"/>
  <c r="F182" i="12"/>
  <c r="H182" i="12" s="1"/>
  <c r="J181" i="12"/>
  <c r="J180" i="12"/>
  <c r="F180" i="12"/>
  <c r="J179" i="12"/>
  <c r="F179" i="12"/>
  <c r="J178" i="12"/>
  <c r="F178" i="12"/>
  <c r="H178" i="12" s="1"/>
  <c r="J175" i="12"/>
  <c r="F175" i="12"/>
  <c r="H175" i="12" s="1"/>
  <c r="J174" i="12"/>
  <c r="F174" i="12"/>
  <c r="J173" i="12"/>
  <c r="F173" i="12"/>
  <c r="J172" i="12"/>
  <c r="J171" i="12"/>
  <c r="F171" i="12"/>
  <c r="J170" i="12"/>
  <c r="F170" i="12"/>
  <c r="H170" i="12" s="1"/>
  <c r="J169" i="12"/>
  <c r="F169" i="12"/>
  <c r="H169" i="12" s="1"/>
  <c r="J166" i="12"/>
  <c r="F166" i="12"/>
  <c r="H166" i="12" s="1"/>
  <c r="J165" i="12"/>
  <c r="F165" i="12"/>
  <c r="H165" i="12" s="1"/>
  <c r="J164" i="12"/>
  <c r="F164" i="12"/>
  <c r="J163" i="12"/>
  <c r="J162" i="12"/>
  <c r="F162" i="12"/>
  <c r="J161" i="12"/>
  <c r="F161" i="12"/>
  <c r="H161" i="12" s="1"/>
  <c r="J160" i="12"/>
  <c r="F160" i="12"/>
  <c r="H160" i="12" s="1"/>
  <c r="J157" i="12"/>
  <c r="F157" i="12"/>
  <c r="J156" i="12"/>
  <c r="F156" i="12"/>
  <c r="J155" i="12"/>
  <c r="F155" i="12"/>
  <c r="H155" i="12" s="1"/>
  <c r="J154" i="12"/>
  <c r="J153" i="12"/>
  <c r="F153" i="12"/>
  <c r="J152" i="12"/>
  <c r="F152" i="12"/>
  <c r="H152" i="12" s="1"/>
  <c r="J151" i="12"/>
  <c r="F151" i="12"/>
  <c r="H151" i="12" s="1"/>
  <c r="J148" i="12"/>
  <c r="F148" i="12"/>
  <c r="J147" i="12"/>
  <c r="F147" i="12"/>
  <c r="H147" i="12" s="1"/>
  <c r="J146" i="12"/>
  <c r="F146" i="12"/>
  <c r="H146" i="12" s="1"/>
  <c r="J145" i="12"/>
  <c r="J144" i="12"/>
  <c r="F144" i="12"/>
  <c r="J143" i="12"/>
  <c r="F143" i="12"/>
  <c r="H143" i="12" s="1"/>
  <c r="J142" i="12"/>
  <c r="F142" i="12"/>
  <c r="H142" i="12" s="1"/>
  <c r="J138" i="12"/>
  <c r="F138" i="12"/>
  <c r="H138" i="12" s="1"/>
  <c r="J137" i="12"/>
  <c r="F137" i="12"/>
  <c r="J136" i="12"/>
  <c r="F136" i="12"/>
  <c r="H136" i="12" s="1"/>
  <c r="J135" i="12"/>
  <c r="F135" i="12"/>
  <c r="H135" i="12" s="1"/>
  <c r="J134" i="12"/>
  <c r="J133" i="12"/>
  <c r="F133" i="12"/>
  <c r="H133" i="12" s="1"/>
  <c r="J132" i="12"/>
  <c r="F132" i="12"/>
  <c r="H132" i="12" s="1"/>
  <c r="J131" i="12"/>
  <c r="F131" i="12"/>
  <c r="J128" i="12"/>
  <c r="F128" i="12"/>
  <c r="H128" i="12" s="1"/>
  <c r="J127" i="12"/>
  <c r="F127" i="12"/>
  <c r="J126" i="12"/>
  <c r="F126" i="12"/>
  <c r="J125" i="12"/>
  <c r="F125" i="12"/>
  <c r="H125" i="12" s="1"/>
  <c r="J124" i="12"/>
  <c r="J123" i="12"/>
  <c r="F123" i="12"/>
  <c r="H123" i="12" s="1"/>
  <c r="J122" i="12"/>
  <c r="F122" i="12"/>
  <c r="H122" i="12" s="1"/>
  <c r="J121" i="12"/>
  <c r="F121" i="12"/>
  <c r="H121" i="12" s="1"/>
  <c r="J118" i="12"/>
  <c r="F118" i="12"/>
  <c r="H118" i="12" s="1"/>
  <c r="J117" i="12"/>
  <c r="F117" i="12"/>
  <c r="H117" i="12" s="1"/>
  <c r="J116" i="12"/>
  <c r="F116" i="12"/>
  <c r="J115" i="12"/>
  <c r="J114" i="12"/>
  <c r="F114" i="12"/>
  <c r="J113" i="12"/>
  <c r="F113" i="12"/>
  <c r="H113" i="12" s="1"/>
  <c r="J112" i="12"/>
  <c r="F112" i="12"/>
  <c r="J109" i="12"/>
  <c r="F109" i="12"/>
  <c r="J108" i="12"/>
  <c r="F108" i="12"/>
  <c r="H108" i="12" s="1"/>
  <c r="J107" i="12"/>
  <c r="F107" i="12"/>
  <c r="H107" i="12" s="1"/>
  <c r="J106" i="12"/>
  <c r="J105" i="12"/>
  <c r="F105" i="12"/>
  <c r="H105" i="12" s="1"/>
  <c r="J104" i="12"/>
  <c r="F104" i="12"/>
  <c r="H104" i="12" s="1"/>
  <c r="J103" i="12"/>
  <c r="F103" i="12"/>
  <c r="H103" i="12" s="1"/>
  <c r="J100" i="12"/>
  <c r="F100" i="12"/>
  <c r="H100" i="12" s="1"/>
  <c r="J99" i="12"/>
  <c r="F99" i="12"/>
  <c r="H99" i="12" s="1"/>
  <c r="J98" i="12"/>
  <c r="F98" i="12"/>
  <c r="H98" i="12" s="1"/>
  <c r="J97" i="12"/>
  <c r="J96" i="12"/>
  <c r="F96" i="12"/>
  <c r="J95" i="12"/>
  <c r="F95" i="12"/>
  <c r="H95" i="12" s="1"/>
  <c r="J94" i="12"/>
  <c r="F94" i="12"/>
  <c r="H94" i="12" s="1"/>
  <c r="J91" i="12"/>
  <c r="F91" i="12"/>
  <c r="H91" i="12" s="1"/>
  <c r="J90" i="12"/>
  <c r="F90" i="12"/>
  <c r="H90" i="12" s="1"/>
  <c r="J89" i="12"/>
  <c r="F89" i="12"/>
  <c r="J88" i="12"/>
  <c r="F88" i="12"/>
  <c r="J87" i="12"/>
  <c r="J86" i="12"/>
  <c r="F86" i="12"/>
  <c r="J85" i="12"/>
  <c r="F85" i="12"/>
  <c r="J84" i="12"/>
  <c r="F84" i="12"/>
  <c r="J81" i="12"/>
  <c r="F81" i="12"/>
  <c r="J80" i="12"/>
  <c r="F80" i="12"/>
  <c r="J79" i="12"/>
  <c r="F79" i="12"/>
  <c r="H79" i="12" s="1"/>
  <c r="J78" i="12"/>
  <c r="F78" i="12"/>
  <c r="H78" i="12" s="1"/>
  <c r="J77" i="12"/>
  <c r="J76" i="12"/>
  <c r="F76" i="12"/>
  <c r="H76" i="12" s="1"/>
  <c r="F75" i="12"/>
  <c r="J74" i="12"/>
  <c r="F74" i="12"/>
  <c r="H74" i="12" s="1"/>
  <c r="H68" i="12"/>
  <c r="K68" i="12" s="1"/>
  <c r="J66" i="12"/>
  <c r="F66" i="12"/>
  <c r="H66" i="12" s="1"/>
  <c r="J65" i="12"/>
  <c r="F65" i="12"/>
  <c r="H65" i="12" s="1"/>
  <c r="J64" i="12"/>
  <c r="F64" i="12"/>
  <c r="H64" i="12" s="1"/>
  <c r="J63" i="12"/>
  <c r="F63" i="12"/>
  <c r="H63" i="12" s="1"/>
  <c r="J60" i="12"/>
  <c r="F60" i="12"/>
  <c r="H60" i="12" s="1"/>
  <c r="J59" i="12"/>
  <c r="F59" i="12"/>
  <c r="H59" i="12" s="1"/>
  <c r="J58" i="12"/>
  <c r="F58" i="12"/>
  <c r="H58" i="12" s="1"/>
  <c r="J57" i="12"/>
  <c r="F57" i="12"/>
  <c r="H57" i="12" s="1"/>
  <c r="J54" i="12"/>
  <c r="F54" i="12"/>
  <c r="J53" i="12"/>
  <c r="F53" i="12"/>
  <c r="H53" i="12" s="1"/>
  <c r="J52" i="12"/>
  <c r="F52" i="12"/>
  <c r="H52" i="12" s="1"/>
  <c r="J51" i="12"/>
  <c r="F51" i="12"/>
  <c r="J48" i="12"/>
  <c r="F48" i="12"/>
  <c r="J47" i="12"/>
  <c r="F47" i="12"/>
  <c r="H47" i="12" s="1"/>
  <c r="F46" i="12"/>
  <c r="H46" i="12" s="1"/>
  <c r="K46" i="12" s="1"/>
  <c r="J45" i="12"/>
  <c r="F45" i="12"/>
  <c r="J41" i="12"/>
  <c r="F41" i="12"/>
  <c r="J40" i="12"/>
  <c r="J39" i="12"/>
  <c r="F39" i="12"/>
  <c r="J38" i="12"/>
  <c r="F38" i="12"/>
  <c r="J37" i="12"/>
  <c r="F37" i="12"/>
  <c r="J35" i="12"/>
  <c r="F35" i="12"/>
  <c r="H35" i="12" s="1"/>
  <c r="J34" i="12"/>
  <c r="J33" i="12"/>
  <c r="F33" i="12"/>
  <c r="J32" i="12"/>
  <c r="F32" i="12"/>
  <c r="J31" i="12"/>
  <c r="F31" i="12"/>
  <c r="J29" i="12"/>
  <c r="F29" i="12"/>
  <c r="J28" i="12"/>
  <c r="J27" i="12"/>
  <c r="F27" i="12"/>
  <c r="F26" i="12"/>
  <c r="J25" i="12"/>
  <c r="F25" i="12"/>
  <c r="J24" i="12"/>
  <c r="F24" i="12"/>
  <c r="F22" i="12"/>
  <c r="F20" i="12"/>
  <c r="F19" i="12"/>
  <c r="F18" i="12"/>
  <c r="H48" i="12" l="1"/>
  <c r="H20" i="12"/>
  <c r="K20" i="12" s="1"/>
  <c r="H31" i="12"/>
  <c r="K31" i="12" s="1"/>
  <c r="H22" i="12"/>
  <c r="K22" i="12" s="1"/>
  <c r="H18" i="12"/>
  <c r="K18" i="12" s="1"/>
  <c r="H24" i="12"/>
  <c r="K24" i="12" s="1"/>
  <c r="H26" i="12"/>
  <c r="K26" i="12" s="1"/>
  <c r="H32" i="12"/>
  <c r="K32" i="12" s="1"/>
  <c r="H25" i="12"/>
  <c r="K25" i="12" s="1"/>
  <c r="H33" i="12"/>
  <c r="K33" i="12" s="1"/>
  <c r="H19" i="12"/>
  <c r="K19" i="12" s="1"/>
  <c r="K170" i="12"/>
  <c r="K160" i="12"/>
  <c r="F199" i="12"/>
  <c r="H199" i="12" s="1"/>
  <c r="K199" i="12" s="1"/>
  <c r="K59" i="12"/>
  <c r="K197" i="12"/>
  <c r="H198" i="12"/>
  <c r="K198" i="12" s="1"/>
  <c r="K53" i="12"/>
  <c r="K161" i="12"/>
  <c r="K91" i="12"/>
  <c r="K142" i="12"/>
  <c r="F145" i="12"/>
  <c r="H145" i="12" s="1"/>
  <c r="K145" i="12" s="1"/>
  <c r="K103" i="12"/>
  <c r="K210" i="12"/>
  <c r="K220" i="12"/>
  <c r="K52" i="12"/>
  <c r="K78" i="12"/>
  <c r="K90" i="12"/>
  <c r="K232" i="12"/>
  <c r="K47" i="12"/>
  <c r="K136" i="12"/>
  <c r="K146" i="12"/>
  <c r="F163" i="12"/>
  <c r="H163" i="12" s="1"/>
  <c r="K163" i="12" s="1"/>
  <c r="K184" i="12"/>
  <c r="K191" i="12"/>
  <c r="K196" i="12"/>
  <c r="K219" i="12"/>
  <c r="K95" i="12"/>
  <c r="K99" i="12"/>
  <c r="K123" i="12"/>
  <c r="K128" i="12"/>
  <c r="K48" i="12"/>
  <c r="K63" i="12"/>
  <c r="K165" i="12"/>
  <c r="K118" i="12"/>
  <c r="F21" i="12"/>
  <c r="K35" i="12"/>
  <c r="K64" i="12"/>
  <c r="K74" i="12"/>
  <c r="K104" i="12"/>
  <c r="F124" i="12"/>
  <c r="H124" i="12" s="1"/>
  <c r="K124" i="12" s="1"/>
  <c r="K125" i="12"/>
  <c r="H162" i="12"/>
  <c r="K162" i="12" s="1"/>
  <c r="K175" i="12"/>
  <c r="K188" i="12"/>
  <c r="K108" i="12"/>
  <c r="K121" i="12"/>
  <c r="K183" i="12"/>
  <c r="K208" i="12"/>
  <c r="K65" i="12"/>
  <c r="K57" i="12"/>
  <c r="K60" i="12"/>
  <c r="K79" i="12"/>
  <c r="K100" i="12"/>
  <c r="K107" i="12"/>
  <c r="K113" i="12"/>
  <c r="K152" i="12"/>
  <c r="K221" i="12"/>
  <c r="F97" i="12"/>
  <c r="H96" i="12"/>
  <c r="K96" i="12" s="1"/>
  <c r="H200" i="12"/>
  <c r="K200" i="12" s="1"/>
  <c r="H247" i="12"/>
  <c r="K247" i="12" s="1"/>
  <c r="H37" i="12"/>
  <c r="K37" i="12" s="1"/>
  <c r="H38" i="12"/>
  <c r="K38" i="12" s="1"/>
  <c r="F40" i="12"/>
  <c r="H39" i="12"/>
  <c r="K39" i="12" s="1"/>
  <c r="H41" i="12"/>
  <c r="K41" i="12" s="1"/>
  <c r="H51" i="12"/>
  <c r="K51" i="12" s="1"/>
  <c r="K58" i="12"/>
  <c r="K66" i="12"/>
  <c r="H75" i="12"/>
  <c r="K75" i="12" s="1"/>
  <c r="K76" i="12"/>
  <c r="H80" i="12"/>
  <c r="K80" i="12" s="1"/>
  <c r="H81" i="12"/>
  <c r="K81" i="12" s="1"/>
  <c r="H84" i="12"/>
  <c r="K84" i="12" s="1"/>
  <c r="H85" i="12"/>
  <c r="K85" i="12" s="1"/>
  <c r="F87" i="12"/>
  <c r="H86" i="12"/>
  <c r="K86" i="12" s="1"/>
  <c r="H88" i="12"/>
  <c r="K88" i="12" s="1"/>
  <c r="H89" i="12"/>
  <c r="K89" i="12" s="1"/>
  <c r="K94" i="12"/>
  <c r="K98" i="12"/>
  <c r="K105" i="12"/>
  <c r="H109" i="12"/>
  <c r="K109" i="12" s="1"/>
  <c r="K122" i="12"/>
  <c r="H127" i="12"/>
  <c r="K127" i="12" s="1"/>
  <c r="H131" i="12"/>
  <c r="K131" i="12" s="1"/>
  <c r="K133" i="12"/>
  <c r="K138" i="12"/>
  <c r="H148" i="12"/>
  <c r="K148" i="12" s="1"/>
  <c r="K151" i="12"/>
  <c r="H157" i="12"/>
  <c r="K157" i="12" s="1"/>
  <c r="H164" i="12"/>
  <c r="K164" i="12" s="1"/>
  <c r="H174" i="12"/>
  <c r="K174" i="12" s="1"/>
  <c r="K187" i="12"/>
  <c r="H209" i="12"/>
  <c r="K209" i="12" s="1"/>
  <c r="H225" i="12"/>
  <c r="K225" i="12" s="1"/>
  <c r="H235" i="12"/>
  <c r="K235" i="12" s="1"/>
  <c r="H54" i="12"/>
  <c r="K54" i="12" s="1"/>
  <c r="H126" i="12"/>
  <c r="K126" i="12" s="1"/>
  <c r="K132" i="12"/>
  <c r="F134" i="12"/>
  <c r="H137" i="12"/>
  <c r="K137" i="12" s="1"/>
  <c r="K143" i="12"/>
  <c r="K169" i="12"/>
  <c r="K178" i="12"/>
  <c r="H193" i="12"/>
  <c r="K193" i="12" s="1"/>
  <c r="K202" i="12"/>
  <c r="H233" i="12"/>
  <c r="K233" i="12" s="1"/>
  <c r="K249" i="12"/>
  <c r="F28" i="12"/>
  <c r="H27" i="12"/>
  <c r="K27" i="12" s="1"/>
  <c r="H29" i="12"/>
  <c r="K29" i="12" s="1"/>
  <c r="F34" i="12"/>
  <c r="H45" i="12"/>
  <c r="K45" i="12" s="1"/>
  <c r="F77" i="12"/>
  <c r="F106" i="12"/>
  <c r="H112" i="12"/>
  <c r="K112" i="12" s="1"/>
  <c r="F115" i="12"/>
  <c r="H114" i="12"/>
  <c r="K114" i="12" s="1"/>
  <c r="H116" i="12"/>
  <c r="K116" i="12" s="1"/>
  <c r="K117" i="12"/>
  <c r="K135" i="12"/>
  <c r="H144" i="12"/>
  <c r="K144" i="12" s="1"/>
  <c r="H156" i="12"/>
  <c r="K156" i="12" s="1"/>
  <c r="K166" i="12"/>
  <c r="H173" i="12"/>
  <c r="K173" i="12" s="1"/>
  <c r="K201" i="12"/>
  <c r="H222" i="12"/>
  <c r="K222" i="12" s="1"/>
  <c r="K238" i="12"/>
  <c r="K248" i="12"/>
  <c r="F181" i="12"/>
  <c r="H180" i="12"/>
  <c r="K180" i="12" s="1"/>
  <c r="K182" i="12"/>
  <c r="F190" i="12"/>
  <c r="K147" i="12"/>
  <c r="F154" i="12"/>
  <c r="H153" i="12"/>
  <c r="K153" i="12" s="1"/>
  <c r="K155" i="12"/>
  <c r="F172" i="12"/>
  <c r="H179" i="12"/>
  <c r="K179" i="12" s="1"/>
  <c r="H189" i="12"/>
  <c r="K189" i="12" s="1"/>
  <c r="K192" i="12"/>
  <c r="H226" i="12"/>
  <c r="K226" i="12" s="1"/>
  <c r="H245" i="12"/>
  <c r="K245" i="12" s="1"/>
  <c r="H250" i="12"/>
  <c r="K250" i="12" s="1"/>
  <c r="F240" i="12"/>
  <c r="H171" i="12"/>
  <c r="K171" i="12" s="1"/>
  <c r="H21" i="12" l="1"/>
  <c r="K21" i="12" s="1"/>
  <c r="L253" i="12"/>
  <c r="L229" i="12"/>
  <c r="H115" i="12"/>
  <c r="K115" i="12" s="1"/>
  <c r="H87" i="12"/>
  <c r="K87" i="12" s="1"/>
  <c r="H106" i="12"/>
  <c r="K106" i="12" s="1"/>
  <c r="H40" i="12"/>
  <c r="K40" i="12" s="1"/>
  <c r="H172" i="12"/>
  <c r="K172" i="12" s="1"/>
  <c r="H34" i="12"/>
  <c r="K34" i="12" s="1"/>
  <c r="H97" i="12"/>
  <c r="K97" i="12" s="1"/>
  <c r="H28" i="12"/>
  <c r="K28" i="12" s="1"/>
  <c r="H134" i="12"/>
  <c r="K134" i="12" s="1"/>
  <c r="H240" i="12"/>
  <c r="K240" i="12" s="1"/>
  <c r="L242" i="12" s="1"/>
  <c r="H154" i="12"/>
  <c r="K154" i="12" s="1"/>
  <c r="H190" i="12"/>
  <c r="K190" i="12" s="1"/>
  <c r="H181" i="12"/>
  <c r="K181" i="12" s="1"/>
  <c r="H77" i="12"/>
  <c r="K77" i="12" s="1"/>
  <c r="L204" i="12" l="1"/>
  <c r="L70" i="12"/>
  <c r="H379" i="12" l="1"/>
  <c r="H833" i="12" l="1"/>
  <c r="K833" i="12" s="1"/>
  <c r="F817" i="12"/>
  <c r="H817" i="12" s="1"/>
  <c r="K817" i="12" s="1"/>
  <c r="F816" i="12"/>
  <c r="H816" i="12" s="1"/>
  <c r="K816" i="12" s="1"/>
  <c r="H815" i="12"/>
  <c r="K815" i="12" s="1"/>
  <c r="H814" i="12"/>
  <c r="K814" i="12" s="1"/>
  <c r="H823" i="12"/>
  <c r="K823" i="12" s="1"/>
  <c r="L825" i="12" s="1"/>
  <c r="H828" i="12"/>
  <c r="K828" i="12" s="1"/>
  <c r="L830" i="12" s="1"/>
  <c r="H390" i="12"/>
  <c r="K390" i="12" s="1"/>
  <c r="F389" i="12"/>
  <c r="H389" i="12" s="1"/>
  <c r="K389" i="12" s="1"/>
  <c r="H878" i="12"/>
  <c r="K878" i="12" s="1"/>
  <c r="H877" i="12"/>
  <c r="K877" i="12" s="1"/>
  <c r="H395" i="12"/>
  <c r="K395" i="12" s="1"/>
  <c r="H875" i="12"/>
  <c r="K875" i="12" s="1"/>
  <c r="H873" i="12"/>
  <c r="K873" i="12" s="1"/>
  <c r="F872" i="12"/>
  <c r="H872" i="12" s="1"/>
  <c r="K872" i="12" s="1"/>
  <c r="H870" i="12"/>
  <c r="K870" i="12" s="1"/>
  <c r="H869" i="12"/>
  <c r="K869" i="12" s="1"/>
  <c r="H867" i="12"/>
  <c r="K867" i="12" s="1"/>
  <c r="H866" i="12"/>
  <c r="K866" i="12" s="1"/>
  <c r="F860" i="12"/>
  <c r="H860" i="12" s="1"/>
  <c r="F859" i="12"/>
  <c r="H858" i="12"/>
  <c r="H818" i="12"/>
  <c r="K818" i="12" s="1"/>
  <c r="H853" i="12"/>
  <c r="K853" i="12" s="1"/>
  <c r="H843" i="12"/>
  <c r="K843" i="12" s="1"/>
  <c r="L845" i="12" s="1"/>
  <c r="H838" i="12"/>
  <c r="K838" i="12" s="1"/>
  <c r="H477" i="12"/>
  <c r="H476" i="12"/>
  <c r="H475" i="12"/>
  <c r="H474" i="12"/>
  <c r="H473" i="12"/>
  <c r="H472" i="12"/>
  <c r="F471" i="12"/>
  <c r="H470" i="12"/>
  <c r="H469" i="12"/>
  <c r="F468" i="12"/>
  <c r="H468" i="12" s="1"/>
  <c r="F467" i="12"/>
  <c r="H467" i="12" s="1"/>
  <c r="H466" i="12"/>
  <c r="H465" i="12"/>
  <c r="H464" i="12"/>
  <c r="F457" i="12"/>
  <c r="H457" i="12" s="1"/>
  <c r="K457" i="12" s="1"/>
  <c r="F456" i="12"/>
  <c r="H456" i="12" s="1"/>
  <c r="K456" i="12" s="1"/>
  <c r="H461" i="12"/>
  <c r="K461" i="12" s="1"/>
  <c r="F452" i="12"/>
  <c r="H452" i="12" s="1"/>
  <c r="K452" i="12" s="1"/>
  <c r="F451" i="12"/>
  <c r="H451" i="12" s="1"/>
  <c r="K451" i="12" s="1"/>
  <c r="F450" i="12"/>
  <c r="H450" i="12" s="1"/>
  <c r="K450" i="12" s="1"/>
  <c r="F449" i="12"/>
  <c r="H449" i="12" s="1"/>
  <c r="K449" i="12" s="1"/>
  <c r="F448" i="12"/>
  <c r="H448" i="12" s="1"/>
  <c r="K448" i="12" s="1"/>
  <c r="H445" i="12"/>
  <c r="K445" i="12" s="1"/>
  <c r="K443" i="12"/>
  <c r="H441" i="12"/>
  <c r="K441" i="12" s="1"/>
  <c r="H440" i="12"/>
  <c r="K440" i="12" s="1"/>
  <c r="H439" i="12"/>
  <c r="K439" i="12" s="1"/>
  <c r="H438" i="12"/>
  <c r="K438" i="12" s="1"/>
  <c r="H437" i="12"/>
  <c r="K437" i="12" s="1"/>
  <c r="H436" i="12"/>
  <c r="K436" i="12" s="1"/>
  <c r="H435" i="12"/>
  <c r="K435" i="12" s="1"/>
  <c r="H434" i="12"/>
  <c r="K434" i="12" s="1"/>
  <c r="H433" i="12"/>
  <c r="K433" i="12" s="1"/>
  <c r="H432" i="12"/>
  <c r="K432" i="12" s="1"/>
  <c r="H431" i="12"/>
  <c r="K431" i="12" s="1"/>
  <c r="H430" i="12"/>
  <c r="K430" i="12" s="1"/>
  <c r="H429" i="12"/>
  <c r="K429" i="12" s="1"/>
  <c r="H329" i="12"/>
  <c r="K329" i="12" s="1"/>
  <c r="H328" i="12"/>
  <c r="K328" i="12" s="1"/>
  <c r="H327" i="12"/>
  <c r="H326" i="12"/>
  <c r="H321" i="12"/>
  <c r="L392" i="12" l="1"/>
  <c r="L820" i="12"/>
  <c r="L835" i="12"/>
  <c r="K860" i="12"/>
  <c r="K321" i="12"/>
  <c r="L323" i="12" s="1"/>
  <c r="K858" i="12"/>
  <c r="L855" i="12"/>
  <c r="L880" i="12"/>
  <c r="H859" i="12"/>
  <c r="K859" i="12" s="1"/>
  <c r="H471" i="12"/>
  <c r="L479" i="12" s="1"/>
  <c r="K326" i="12"/>
  <c r="K327" i="12"/>
  <c r="L331" i="12" l="1"/>
  <c r="L862" i="12"/>
  <c r="L840" i="12"/>
  <c r="K379" i="12" l="1"/>
  <c r="L381" i="12" s="1"/>
  <c r="F316" i="12" l="1"/>
  <c r="H316" i="12" s="1"/>
  <c r="K316" i="12" s="1"/>
  <c r="F310" i="12"/>
  <c r="H310" i="12" s="1"/>
  <c r="K310" i="12" s="1"/>
  <c r="F303" i="12"/>
  <c r="H303" i="12" s="1"/>
  <c r="K303" i="12" s="1"/>
  <c r="F297" i="12"/>
  <c r="H297" i="12" s="1"/>
  <c r="K297" i="12" s="1"/>
  <c r="F290" i="12"/>
  <c r="H290" i="12" s="1"/>
  <c r="K290" i="12" s="1"/>
  <c r="F284" i="12"/>
  <c r="F275" i="12"/>
  <c r="H275" i="12" s="1"/>
  <c r="K275" i="12" s="1"/>
  <c r="F278" i="12"/>
  <c r="H278" i="12" s="1"/>
  <c r="K278" i="12" s="1"/>
  <c r="F272" i="12"/>
  <c r="H272" i="12" s="1"/>
  <c r="K272" i="12" s="1"/>
  <c r="F266" i="12"/>
  <c r="H266" i="12" s="1"/>
  <c r="K266" i="12" s="1"/>
  <c r="F265" i="12"/>
  <c r="H265" i="12" s="1"/>
  <c r="K265" i="12" s="1"/>
  <c r="F301" i="12"/>
  <c r="H301" i="12" s="1"/>
  <c r="K301" i="12" s="1"/>
  <c r="F302" i="12"/>
  <c r="H302" i="12" s="1"/>
  <c r="K302" i="12" s="1"/>
  <c r="F281" i="12"/>
  <c r="F269" i="12"/>
  <c r="F271" i="12"/>
  <c r="H271" i="12" s="1"/>
  <c r="K271" i="12" s="1"/>
  <c r="F277" i="12"/>
  <c r="H277" i="12" s="1"/>
  <c r="K277" i="12" s="1"/>
  <c r="F289" i="12"/>
  <c r="H289" i="12" s="1"/>
  <c r="K289" i="12" s="1"/>
  <c r="F295" i="12"/>
  <c r="H295" i="12" s="1"/>
  <c r="K295" i="12" s="1"/>
  <c r="F296" i="12"/>
  <c r="H296" i="12" s="1"/>
  <c r="K296" i="12" s="1"/>
  <c r="F308" i="12"/>
  <c r="H308" i="12" s="1"/>
  <c r="K308" i="12" s="1"/>
  <c r="F309" i="12"/>
  <c r="H309" i="12" s="1"/>
  <c r="K309" i="12" s="1"/>
  <c r="F315" i="12"/>
  <c r="H315" i="12" s="1"/>
  <c r="K315" i="12" s="1"/>
  <c r="F314" i="12"/>
  <c r="H314" i="12" s="1"/>
  <c r="K314" i="12" s="1"/>
  <c r="H283" i="12"/>
  <c r="K283" i="12" s="1"/>
  <c r="F949" i="12"/>
  <c r="H949" i="12" s="1"/>
  <c r="K949" i="12" s="1"/>
  <c r="F948" i="12"/>
  <c r="H948" i="12" s="1"/>
  <c r="K948" i="12" s="1"/>
  <c r="F946" i="12"/>
  <c r="F944" i="12"/>
  <c r="H944" i="12" s="1"/>
  <c r="K944" i="12" s="1"/>
  <c r="F943" i="12"/>
  <c r="H943" i="12" s="1"/>
  <c r="K943" i="12" s="1"/>
  <c r="F941" i="12"/>
  <c r="H941" i="12" s="1"/>
  <c r="K941" i="12" s="1"/>
  <c r="F940" i="12"/>
  <c r="H940" i="12" s="1"/>
  <c r="K940" i="12" s="1"/>
  <c r="H932" i="12"/>
  <c r="K932" i="12" s="1"/>
  <c r="F803" i="12"/>
  <c r="H803" i="12" s="1"/>
  <c r="K803" i="12" s="1"/>
  <c r="F804" i="12"/>
  <c r="H802" i="12"/>
  <c r="K802" i="12" s="1"/>
  <c r="H415" i="12"/>
  <c r="K415" i="12" s="1"/>
  <c r="F408" i="12"/>
  <c r="F413" i="12"/>
  <c r="H418" i="12"/>
  <c r="K418" i="12" s="1"/>
  <c r="H888" i="12"/>
  <c r="K888" i="12" s="1"/>
  <c r="F801" i="12"/>
  <c r="F313" i="12"/>
  <c r="H313" i="12" s="1"/>
  <c r="K313" i="12" s="1"/>
  <c r="F307" i="12"/>
  <c r="F300" i="12"/>
  <c r="H300" i="12" s="1"/>
  <c r="K300" i="12" s="1"/>
  <c r="F294" i="12"/>
  <c r="H294" i="12" s="1"/>
  <c r="K294" i="12" s="1"/>
  <c r="F288" i="12"/>
  <c r="F287" i="12"/>
  <c r="F282" i="12"/>
  <c r="F276" i="12"/>
  <c r="H276" i="12" s="1"/>
  <c r="K276" i="12" s="1"/>
  <c r="F270" i="12"/>
  <c r="F264" i="12"/>
  <c r="H264" i="12" s="1"/>
  <c r="K264" i="12" s="1"/>
  <c r="F263" i="12"/>
  <c r="H263" i="12" s="1"/>
  <c r="K263" i="12" s="1"/>
  <c r="F795" i="12"/>
  <c r="H795" i="12" s="1"/>
  <c r="K795" i="12" s="1"/>
  <c r="F796" i="12"/>
  <c r="H796" i="12" s="1"/>
  <c r="K796" i="12" s="1"/>
  <c r="F790" i="12"/>
  <c r="F652" i="12"/>
  <c r="F651" i="12"/>
  <c r="F646" i="12"/>
  <c r="F643" i="12"/>
  <c r="H643" i="12" s="1"/>
  <c r="K643" i="12" s="1"/>
  <c r="F642" i="12"/>
  <c r="H642" i="12" s="1"/>
  <c r="K642" i="12" s="1"/>
  <c r="F637" i="12"/>
  <c r="H637" i="12" s="1"/>
  <c r="F634" i="12"/>
  <c r="F633" i="12"/>
  <c r="F628" i="12"/>
  <c r="F625" i="12"/>
  <c r="H625" i="12" s="1"/>
  <c r="K625" i="12" s="1"/>
  <c r="F624" i="12"/>
  <c r="H624" i="12" s="1"/>
  <c r="K624" i="12" s="1"/>
  <c r="F623" i="12"/>
  <c r="H623" i="12" s="1"/>
  <c r="K623" i="12" s="1"/>
  <c r="F622" i="12"/>
  <c r="H622" i="12" s="1"/>
  <c r="K622" i="12" s="1"/>
  <c r="F621" i="12"/>
  <c r="H621" i="12" s="1"/>
  <c r="K621" i="12" s="1"/>
  <c r="F616" i="12"/>
  <c r="H616" i="12" s="1"/>
  <c r="F613" i="12"/>
  <c r="F612" i="12"/>
  <c r="F611" i="12"/>
  <c r="F610" i="12"/>
  <c r="F609" i="12"/>
  <c r="F604" i="12"/>
  <c r="F601" i="12"/>
  <c r="H601" i="12" s="1"/>
  <c r="K601" i="12" s="1"/>
  <c r="F600" i="12"/>
  <c r="H600" i="12" s="1"/>
  <c r="K600" i="12" s="1"/>
  <c r="F599" i="12"/>
  <c r="H599" i="12" s="1"/>
  <c r="K599" i="12" s="1"/>
  <c r="F598" i="12"/>
  <c r="H598" i="12" s="1"/>
  <c r="K598" i="12" s="1"/>
  <c r="F597" i="12"/>
  <c r="H597" i="12" s="1"/>
  <c r="K597" i="12" s="1"/>
  <c r="F592" i="12"/>
  <c r="H592" i="12" s="1"/>
  <c r="F589" i="12"/>
  <c r="F588" i="12"/>
  <c r="F587" i="12"/>
  <c r="F582" i="12"/>
  <c r="F581" i="12"/>
  <c r="F578" i="12"/>
  <c r="H578" i="12" s="1"/>
  <c r="K578" i="12" s="1"/>
  <c r="F577" i="12"/>
  <c r="H577" i="12" s="1"/>
  <c r="K577" i="12" s="1"/>
  <c r="F576" i="12"/>
  <c r="H576" i="12" s="1"/>
  <c r="K576" i="12" s="1"/>
  <c r="F571" i="12"/>
  <c r="H571" i="12" s="1"/>
  <c r="H574" i="12" s="1"/>
  <c r="F568" i="12"/>
  <c r="F567" i="12"/>
  <c r="F566" i="12"/>
  <c r="F561" i="12"/>
  <c r="F558" i="12"/>
  <c r="H558" i="12" s="1"/>
  <c r="K558" i="12" s="1"/>
  <c r="F557" i="12"/>
  <c r="H557" i="12" s="1"/>
  <c r="K557" i="12" s="1"/>
  <c r="F552" i="12"/>
  <c r="H552" i="12" s="1"/>
  <c r="F551" i="12"/>
  <c r="H551" i="12" s="1"/>
  <c r="F548" i="12"/>
  <c r="F547" i="12"/>
  <c r="F542" i="12"/>
  <c r="H542" i="12" s="1"/>
  <c r="F541" i="12"/>
  <c r="H541" i="12" s="1"/>
  <c r="K541" i="12" s="1"/>
  <c r="F538" i="12"/>
  <c r="H538" i="12" s="1"/>
  <c r="K538" i="12" s="1"/>
  <c r="F537" i="12"/>
  <c r="H537" i="12" s="1"/>
  <c r="K537" i="12" s="1"/>
  <c r="F532" i="12"/>
  <c r="H532" i="12" s="1"/>
  <c r="H536" i="12" s="1"/>
  <c r="F529" i="12"/>
  <c r="H529" i="12" s="1"/>
  <c r="K529" i="12" s="1"/>
  <c r="F528" i="12"/>
  <c r="H528" i="12" s="1"/>
  <c r="K528" i="12" s="1"/>
  <c r="F523" i="12"/>
  <c r="H523" i="12" s="1"/>
  <c r="F522" i="12"/>
  <c r="H522" i="12" s="1"/>
  <c r="K522" i="12" s="1"/>
  <c r="F786" i="12"/>
  <c r="H786" i="12" s="1"/>
  <c r="K786" i="12" s="1"/>
  <c r="F780" i="12"/>
  <c r="F785" i="12"/>
  <c r="F776" i="12"/>
  <c r="H776" i="12" s="1"/>
  <c r="K776" i="12" s="1"/>
  <c r="F777" i="12"/>
  <c r="H777" i="12" s="1"/>
  <c r="K777" i="12" s="1"/>
  <c r="F771" i="12"/>
  <c r="H771" i="12" s="1"/>
  <c r="K771" i="12" s="1"/>
  <c r="F767" i="12"/>
  <c r="H767" i="12" s="1"/>
  <c r="K767" i="12" s="1"/>
  <c r="F768" i="12"/>
  <c r="H768" i="12" s="1"/>
  <c r="K768" i="12" s="1"/>
  <c r="F762" i="12"/>
  <c r="H762" i="12" s="1"/>
  <c r="H766" i="12" s="1"/>
  <c r="F759" i="12"/>
  <c r="H759" i="12" s="1"/>
  <c r="K759" i="12" s="1"/>
  <c r="F755" i="12"/>
  <c r="H755" i="12" s="1"/>
  <c r="K755" i="12" s="1"/>
  <c r="F758" i="12"/>
  <c r="H758" i="12" s="1"/>
  <c r="K758" i="12" s="1"/>
  <c r="F757" i="12"/>
  <c r="H757" i="12" s="1"/>
  <c r="K757" i="12" s="1"/>
  <c r="F756" i="12"/>
  <c r="H756" i="12" s="1"/>
  <c r="K756" i="12" s="1"/>
  <c r="F750" i="12"/>
  <c r="H750" i="12" s="1"/>
  <c r="H754" i="12" s="1"/>
  <c r="F747" i="12"/>
  <c r="H747" i="12" s="1"/>
  <c r="K747" i="12" s="1"/>
  <c r="F745" i="12"/>
  <c r="H745" i="12" s="1"/>
  <c r="K745" i="12" s="1"/>
  <c r="F746" i="12"/>
  <c r="H746" i="12" s="1"/>
  <c r="K746" i="12" s="1"/>
  <c r="F738" i="12"/>
  <c r="H738" i="12" s="1"/>
  <c r="H742" i="12" s="1"/>
  <c r="F744" i="12"/>
  <c r="H744" i="12" s="1"/>
  <c r="K744" i="12" s="1"/>
  <c r="F743" i="12"/>
  <c r="H743" i="12" s="1"/>
  <c r="K743" i="12" s="1"/>
  <c r="F734" i="12"/>
  <c r="H734" i="12" s="1"/>
  <c r="K734" i="12" s="1"/>
  <c r="F733" i="12"/>
  <c r="H733" i="12" s="1"/>
  <c r="K733" i="12" s="1"/>
  <c r="F732" i="12"/>
  <c r="H732" i="12" s="1"/>
  <c r="K732" i="12" s="1"/>
  <c r="F726" i="12"/>
  <c r="H726" i="12" s="1"/>
  <c r="H730" i="12" s="1"/>
  <c r="F735" i="12"/>
  <c r="H735" i="12" s="1"/>
  <c r="K735" i="12" s="1"/>
  <c r="F731" i="12"/>
  <c r="H731" i="12" s="1"/>
  <c r="K731" i="12" s="1"/>
  <c r="F721" i="12"/>
  <c r="H721" i="12" s="1"/>
  <c r="K721" i="12" s="1"/>
  <c r="F723" i="12"/>
  <c r="H723" i="12" s="1"/>
  <c r="K723" i="12" s="1"/>
  <c r="F722" i="12"/>
  <c r="H722" i="12" s="1"/>
  <c r="K722" i="12" s="1"/>
  <c r="F716" i="12"/>
  <c r="H716" i="12" s="1"/>
  <c r="F715" i="12"/>
  <c r="H715" i="12" s="1"/>
  <c r="F701" i="12"/>
  <c r="H701" i="12" s="1"/>
  <c r="K701" i="12" s="1"/>
  <c r="F711" i="12"/>
  <c r="H711" i="12" s="1"/>
  <c r="K711" i="12" s="1"/>
  <c r="F712" i="12"/>
  <c r="H712" i="12" s="1"/>
  <c r="K712" i="12" s="1"/>
  <c r="F710" i="12"/>
  <c r="H710" i="12" s="1"/>
  <c r="K710" i="12" s="1"/>
  <c r="F705" i="12"/>
  <c r="H705" i="12" s="1"/>
  <c r="H709" i="12" s="1"/>
  <c r="F702" i="12"/>
  <c r="H702" i="12" s="1"/>
  <c r="K702" i="12" s="1"/>
  <c r="F700" i="12"/>
  <c r="H700" i="12" s="1"/>
  <c r="K700" i="12" s="1"/>
  <c r="F695" i="12"/>
  <c r="H695" i="12" s="1"/>
  <c r="H698" i="12" s="1"/>
  <c r="F691" i="12"/>
  <c r="H691" i="12" s="1"/>
  <c r="K691" i="12" s="1"/>
  <c r="F692" i="12"/>
  <c r="H692" i="12" s="1"/>
  <c r="K692" i="12" s="1"/>
  <c r="F686" i="12"/>
  <c r="H686" i="12" s="1"/>
  <c r="F685" i="12"/>
  <c r="H685" i="12" s="1"/>
  <c r="K685" i="12" s="1"/>
  <c r="F682" i="12"/>
  <c r="H682" i="12" s="1"/>
  <c r="K682" i="12" s="1"/>
  <c r="F681" i="12"/>
  <c r="H681" i="12" s="1"/>
  <c r="K681" i="12" s="1"/>
  <c r="F676" i="12"/>
  <c r="H676" i="12" s="1"/>
  <c r="F675" i="12"/>
  <c r="H675" i="12" s="1"/>
  <c r="K675" i="12" s="1"/>
  <c r="F672" i="12"/>
  <c r="H672" i="12" s="1"/>
  <c r="K672" i="12" s="1"/>
  <c r="F671" i="12"/>
  <c r="H671" i="12" s="1"/>
  <c r="K671" i="12" s="1"/>
  <c r="F666" i="12"/>
  <c r="H666" i="12" s="1"/>
  <c r="K666" i="12" s="1"/>
  <c r="F663" i="12"/>
  <c r="H663" i="12" s="1"/>
  <c r="K663" i="12" s="1"/>
  <c r="F662" i="12"/>
  <c r="H662" i="12" s="1"/>
  <c r="K662" i="12" s="1"/>
  <c r="F657" i="12"/>
  <c r="H657" i="12" s="1"/>
  <c r="F656" i="12"/>
  <c r="H656" i="12" s="1"/>
  <c r="K656" i="12" s="1"/>
  <c r="F518" i="12"/>
  <c r="H518" i="12" s="1"/>
  <c r="K518" i="12" s="1"/>
  <c r="F517" i="12"/>
  <c r="H517" i="12" s="1"/>
  <c r="K517" i="12" s="1"/>
  <c r="F512" i="12"/>
  <c r="H512" i="12" s="1"/>
  <c r="F509" i="12"/>
  <c r="H509" i="12" s="1"/>
  <c r="K509" i="12" s="1"/>
  <c r="F508" i="12"/>
  <c r="H508" i="12" s="1"/>
  <c r="K508" i="12" s="1"/>
  <c r="F503" i="12"/>
  <c r="H503" i="12" s="1"/>
  <c r="F500" i="12"/>
  <c r="H500" i="12" s="1"/>
  <c r="K500" i="12" s="1"/>
  <c r="F499" i="12"/>
  <c r="H499" i="12" s="1"/>
  <c r="K499" i="12" s="1"/>
  <c r="F494" i="12"/>
  <c r="H494" i="12" s="1"/>
  <c r="F491" i="12"/>
  <c r="F490" i="12"/>
  <c r="F485" i="12"/>
  <c r="H485" i="12" s="1"/>
  <c r="K485" i="12" s="1"/>
  <c r="H890" i="12"/>
  <c r="K890" i="12" s="1"/>
  <c r="H889" i="12"/>
  <c r="K889" i="12" s="1"/>
  <c r="H809" i="12"/>
  <c r="K809" i="12" s="1"/>
  <c r="L811" i="12" s="1"/>
  <c r="H284" i="12" l="1"/>
  <c r="K284" i="12" s="1"/>
  <c r="H946" i="12"/>
  <c r="K946" i="12" s="1"/>
  <c r="L952" i="12" s="1"/>
  <c r="H667" i="12"/>
  <c r="H668" i="12" s="1"/>
  <c r="H669" i="12"/>
  <c r="H670" i="12"/>
  <c r="H533" i="12"/>
  <c r="H534" i="12" s="1"/>
  <c r="H535" i="12"/>
  <c r="H486" i="12"/>
  <c r="H487" i="12" s="1"/>
  <c r="H488" i="12"/>
  <c r="H489" i="12"/>
  <c r="H269" i="12"/>
  <c r="K269" i="12" s="1"/>
  <c r="H270" i="12"/>
  <c r="K270" i="12" s="1"/>
  <c r="H281" i="12"/>
  <c r="K281" i="12" s="1"/>
  <c r="H282" i="12"/>
  <c r="K282" i="12" s="1"/>
  <c r="H307" i="12"/>
  <c r="K307" i="12" s="1"/>
  <c r="H288" i="12"/>
  <c r="K288" i="12" s="1"/>
  <c r="H287" i="12"/>
  <c r="K287" i="12" s="1"/>
  <c r="H595" i="12"/>
  <c r="K592" i="12"/>
  <c r="H596" i="12"/>
  <c r="H556" i="12"/>
  <c r="K551" i="12"/>
  <c r="H619" i="12"/>
  <c r="K616" i="12"/>
  <c r="H620" i="12"/>
  <c r="H640" i="12"/>
  <c r="K637" i="12"/>
  <c r="H641" i="12"/>
  <c r="K571" i="12"/>
  <c r="H790" i="12"/>
  <c r="H794" i="12" s="1"/>
  <c r="H555" i="12"/>
  <c r="H575" i="12"/>
  <c r="K552" i="12"/>
  <c r="K523" i="12"/>
  <c r="H527" i="12"/>
  <c r="H526" i="12"/>
  <c r="H524" i="12"/>
  <c r="H525" i="12" s="1"/>
  <c r="H543" i="12"/>
  <c r="H544" i="12" s="1"/>
  <c r="K542" i="12"/>
  <c r="H545" i="12"/>
  <c r="H546" i="12"/>
  <c r="H547" i="12"/>
  <c r="K547" i="12" s="1"/>
  <c r="H548" i="12"/>
  <c r="K548" i="12" s="1"/>
  <c r="H566" i="12"/>
  <c r="K566" i="12" s="1"/>
  <c r="H567" i="12"/>
  <c r="K567" i="12" s="1"/>
  <c r="H568" i="12"/>
  <c r="K568" i="12" s="1"/>
  <c r="H628" i="12"/>
  <c r="H633" i="12"/>
  <c r="K633" i="12" s="1"/>
  <c r="H634" i="12"/>
  <c r="K634" i="12" s="1"/>
  <c r="H646" i="12"/>
  <c r="H651" i="12"/>
  <c r="K651" i="12" s="1"/>
  <c r="H652" i="12"/>
  <c r="K652" i="12" s="1"/>
  <c r="K532" i="12"/>
  <c r="H581" i="12"/>
  <c r="K581" i="12" s="1"/>
  <c r="H587" i="12"/>
  <c r="K587" i="12" s="1"/>
  <c r="H588" i="12"/>
  <c r="K588" i="12" s="1"/>
  <c r="H609" i="12"/>
  <c r="K609" i="12" s="1"/>
  <c r="H611" i="12"/>
  <c r="K611" i="12" s="1"/>
  <c r="H553" i="12"/>
  <c r="H554" i="12" s="1"/>
  <c r="H572" i="12"/>
  <c r="H573" i="12" s="1"/>
  <c r="H593" i="12"/>
  <c r="H594" i="12" s="1"/>
  <c r="H617" i="12"/>
  <c r="H618" i="12" s="1"/>
  <c r="H638" i="12"/>
  <c r="H639" i="12" s="1"/>
  <c r="H561" i="12"/>
  <c r="H582" i="12"/>
  <c r="H589" i="12"/>
  <c r="K589" i="12" s="1"/>
  <c r="H604" i="12"/>
  <c r="H610" i="12"/>
  <c r="K610" i="12" s="1"/>
  <c r="H612" i="12"/>
  <c r="K612" i="12" s="1"/>
  <c r="H613" i="12"/>
  <c r="K613" i="12" s="1"/>
  <c r="H720" i="12"/>
  <c r="H717" i="12"/>
  <c r="H718" i="12" s="1"/>
  <c r="H719" i="12"/>
  <c r="K716" i="12"/>
  <c r="H490" i="12"/>
  <c r="K490" i="12" s="1"/>
  <c r="H491" i="12"/>
  <c r="K491" i="12" s="1"/>
  <c r="H498" i="12"/>
  <c r="K494" i="12"/>
  <c r="H497" i="12"/>
  <c r="H495" i="12"/>
  <c r="H496" i="12" s="1"/>
  <c r="H506" i="12"/>
  <c r="H504" i="12"/>
  <c r="H505" i="12" s="1"/>
  <c r="H507" i="12"/>
  <c r="K503" i="12"/>
  <c r="H516" i="12"/>
  <c r="K512" i="12"/>
  <c r="H515" i="12"/>
  <c r="H513" i="12"/>
  <c r="H514" i="12" s="1"/>
  <c r="H774" i="12"/>
  <c r="H772" i="12"/>
  <c r="H773" i="12" s="1"/>
  <c r="H775" i="12"/>
  <c r="H765" i="12"/>
  <c r="H763" i="12"/>
  <c r="H764" i="12" s="1"/>
  <c r="K762" i="12"/>
  <c r="K738" i="12"/>
  <c r="H706" i="12"/>
  <c r="H707" i="12" s="1"/>
  <c r="H679" i="12"/>
  <c r="H729" i="12"/>
  <c r="K750" i="12"/>
  <c r="H727" i="12"/>
  <c r="H728" i="12" s="1"/>
  <c r="H751" i="12"/>
  <c r="H752" i="12" s="1"/>
  <c r="H753" i="12"/>
  <c r="H739" i="12"/>
  <c r="H740" i="12" s="1"/>
  <c r="H741" i="12"/>
  <c r="K726" i="12"/>
  <c r="H689" i="12"/>
  <c r="H708" i="12"/>
  <c r="K715" i="12"/>
  <c r="K705" i="12"/>
  <c r="K695" i="12"/>
  <c r="H699" i="12"/>
  <c r="H696" i="12"/>
  <c r="H697" i="12" s="1"/>
  <c r="H661" i="12"/>
  <c r="K676" i="12"/>
  <c r="K686" i="12"/>
  <c r="H690" i="12"/>
  <c r="H687" i="12"/>
  <c r="H688" i="12" s="1"/>
  <c r="H680" i="12"/>
  <c r="H677" i="12"/>
  <c r="H678" i="12" s="1"/>
  <c r="H658" i="12"/>
  <c r="H659" i="12" s="1"/>
  <c r="H660" i="12"/>
  <c r="K657" i="12"/>
  <c r="L318" i="12" l="1"/>
  <c r="H791" i="12"/>
  <c r="H792" i="12" s="1"/>
  <c r="H793" i="12"/>
  <c r="K790" i="12"/>
  <c r="H562" i="12"/>
  <c r="H563" i="12" s="1"/>
  <c r="H565" i="12"/>
  <c r="K561" i="12"/>
  <c r="H564" i="12"/>
  <c r="H586" i="12"/>
  <c r="K582" i="12"/>
  <c r="H585" i="12"/>
  <c r="H583" i="12"/>
  <c r="H584" i="12" s="1"/>
  <c r="H608" i="12"/>
  <c r="K604" i="12"/>
  <c r="H607" i="12"/>
  <c r="H605" i="12"/>
  <c r="H606" i="12" s="1"/>
  <c r="H632" i="12"/>
  <c r="K628" i="12"/>
  <c r="H631" i="12"/>
  <c r="H629" i="12"/>
  <c r="H630" i="12" s="1"/>
  <c r="H649" i="12"/>
  <c r="H647" i="12"/>
  <c r="H648" i="12" s="1"/>
  <c r="H650" i="12"/>
  <c r="K646" i="12"/>
  <c r="H804" i="12"/>
  <c r="K804" i="12" s="1"/>
  <c r="H801" i="12"/>
  <c r="K801" i="12" s="1"/>
  <c r="L806" i="12" l="1"/>
  <c r="H933" i="12" l="1"/>
  <c r="K933" i="12" s="1"/>
  <c r="H931" i="12"/>
  <c r="K931" i="12" s="1"/>
  <c r="H930" i="12"/>
  <c r="K930" i="12" s="1"/>
  <c r="H929" i="12"/>
  <c r="K929" i="12" s="1"/>
  <c r="H928" i="12"/>
  <c r="K928" i="12" s="1"/>
  <c r="L936" i="12" l="1"/>
  <c r="H384" i="12"/>
  <c r="K384" i="12" l="1"/>
  <c r="L386" i="12" s="1"/>
  <c r="L397" i="12" l="1"/>
  <c r="J401" i="12"/>
  <c r="H400" i="12"/>
  <c r="K400" i="12" s="1"/>
  <c r="H401" i="12"/>
  <c r="H10" i="12"/>
  <c r="K10" i="12" s="1"/>
  <c r="H9" i="12"/>
  <c r="K9" i="12" s="1"/>
  <c r="A8" i="12"/>
  <c r="A7" i="12"/>
  <c r="K401" i="12" l="1"/>
  <c r="L403" i="12" s="1"/>
  <c r="A9" i="12"/>
  <c r="L12" i="12"/>
  <c r="A10" i="12" l="1"/>
  <c r="H417" i="12"/>
  <c r="K417" i="12" s="1"/>
  <c r="H416" i="12"/>
  <c r="K416" i="12" s="1"/>
  <c r="H414" i="12"/>
  <c r="K414" i="12" s="1"/>
  <c r="H419" i="12"/>
  <c r="K419" i="12" s="1"/>
  <c r="H408" i="12"/>
  <c r="K408" i="12" s="1"/>
  <c r="H407" i="12"/>
  <c r="K407" i="12" s="1"/>
  <c r="H413" i="12"/>
  <c r="K413" i="12" s="1"/>
  <c r="A18" i="12" l="1"/>
  <c r="L410" i="12"/>
  <c r="L424" i="12"/>
  <c r="A19" i="12" l="1"/>
  <c r="H780" i="12"/>
  <c r="H785" i="12"/>
  <c r="K785" i="12" s="1"/>
  <c r="A20" i="12" l="1"/>
  <c r="H783" i="12"/>
  <c r="H784" i="12"/>
  <c r="H781" i="12"/>
  <c r="H782" i="12" s="1"/>
  <c r="K780" i="12"/>
  <c r="L798" i="12" s="1"/>
  <c r="A21" i="12" l="1"/>
  <c r="H891" i="12"/>
  <c r="K891" i="12" s="1"/>
  <c r="A22" i="12" l="1"/>
  <c r="K966" i="12"/>
  <c r="L893" i="12"/>
  <c r="A24" i="12" l="1"/>
  <c r="A25" i="12" s="1"/>
  <c r="A26" i="12" s="1"/>
  <c r="A27" i="12" s="1"/>
  <c r="A28" i="12" s="1"/>
  <c r="L966" i="12"/>
  <c r="A29" i="12" l="1"/>
  <c r="A31" i="12" s="1"/>
  <c r="A32" i="12" s="1"/>
  <c r="A33" i="12" s="1"/>
  <c r="A34" i="12" s="1"/>
  <c r="A35" i="12" s="1"/>
  <c r="A37" i="12" s="1"/>
  <c r="A38" i="12" s="1"/>
  <c r="A39" i="12" s="1"/>
  <c r="A40" i="12" s="1"/>
  <c r="A41" i="12" s="1"/>
  <c r="A45" i="12" s="1"/>
  <c r="A46" i="12" s="1"/>
  <c r="A47" i="12" s="1"/>
  <c r="A48" i="12" s="1"/>
  <c r="A51" i="12" s="1"/>
  <c r="A52" i="12" s="1"/>
  <c r="A53" i="12" s="1"/>
  <c r="A54" i="12" s="1"/>
  <c r="A57" i="12" s="1"/>
  <c r="A58" i="12" s="1"/>
  <c r="A59" i="12" s="1"/>
  <c r="A60" i="12" s="1"/>
  <c r="A63" i="12" s="1"/>
  <c r="A64" i="12" s="1"/>
  <c r="A65" i="12" s="1"/>
  <c r="A66" i="12" s="1"/>
  <c r="A68" i="12" s="1"/>
  <c r="A74" i="12" s="1"/>
  <c r="A75" i="12" s="1"/>
  <c r="A76" i="12" s="1"/>
  <c r="A77" i="12" s="1"/>
  <c r="A78" i="12" s="1"/>
  <c r="A79" i="12" s="1"/>
  <c r="A80" i="12" s="1"/>
  <c r="A81" i="12" s="1"/>
  <c r="A84" i="12" s="1"/>
  <c r="A85" i="12" s="1"/>
  <c r="A86" i="12" s="1"/>
  <c r="A87" i="12" s="1"/>
  <c r="A88" i="12" s="1"/>
  <c r="A89" i="12" s="1"/>
  <c r="A90" i="12" s="1"/>
  <c r="A91" i="12" s="1"/>
  <c r="A94" i="12" s="1"/>
  <c r="A95" i="12" s="1"/>
  <c r="A96" i="12" s="1"/>
  <c r="A97" i="12" s="1"/>
  <c r="A98" i="12" s="1"/>
  <c r="A99" i="12" s="1"/>
  <c r="A100" i="12" s="1"/>
  <c r="A103" i="12" s="1"/>
  <c r="A104" i="12" s="1"/>
  <c r="A105" i="12" s="1"/>
  <c r="A106" i="12" s="1"/>
  <c r="A107" i="12" s="1"/>
  <c r="A108" i="12" s="1"/>
  <c r="A109" i="12" s="1"/>
  <c r="A112" i="12" s="1"/>
  <c r="A113" i="12" s="1"/>
  <c r="A114" i="12" s="1"/>
  <c r="A115" i="12" s="1"/>
  <c r="A116" i="12" s="1"/>
  <c r="A117" i="12" s="1"/>
  <c r="A118" i="12" s="1"/>
  <c r="A121" i="12" s="1"/>
  <c r="A122" i="12" s="1"/>
  <c r="A123" i="12" s="1"/>
  <c r="A124" i="12" s="1"/>
  <c r="A125" i="12" s="1"/>
  <c r="A126" i="12" s="1"/>
  <c r="A127" i="12" s="1"/>
  <c r="A128" i="12" s="1"/>
  <c r="A131" i="12" s="1"/>
  <c r="A132" i="12" s="1"/>
  <c r="A133" i="12" s="1"/>
  <c r="A134" i="12" s="1"/>
  <c r="A135" i="12" s="1"/>
  <c r="A136" i="12" s="1"/>
  <c r="A137" i="12" s="1"/>
  <c r="A138" i="12" s="1"/>
  <c r="A142" i="12" s="1"/>
  <c r="A143" i="12" s="1"/>
  <c r="A144" i="12" s="1"/>
  <c r="A145" i="12" s="1"/>
  <c r="A146" i="12" s="1"/>
  <c r="A147" i="12" s="1"/>
  <c r="A148" i="12" s="1"/>
  <c r="A151" i="12" s="1"/>
  <c r="A152" i="12" s="1"/>
  <c r="A153" i="12" s="1"/>
  <c r="A154" i="12" s="1"/>
  <c r="A155" i="12" s="1"/>
  <c r="A156" i="12" s="1"/>
  <c r="A157" i="12" s="1"/>
  <c r="A160" i="12" s="1"/>
  <c r="A161" i="12" s="1"/>
  <c r="A162" i="12" s="1"/>
  <c r="A163" i="12" s="1"/>
  <c r="A164" i="12" s="1"/>
  <c r="A165" i="12" s="1"/>
  <c r="A166" i="12" s="1"/>
  <c r="A169" i="12" s="1"/>
  <c r="A170" i="12" s="1"/>
  <c r="A171" i="12" s="1"/>
  <c r="A172" i="12" s="1"/>
  <c r="A173" i="12" s="1"/>
  <c r="A174" i="12" s="1"/>
  <c r="A175" i="12" s="1"/>
  <c r="A178" i="12" s="1"/>
  <c r="A179" i="12" s="1"/>
  <c r="A180" i="12" s="1"/>
  <c r="A181" i="12" s="1"/>
  <c r="A182" i="12" s="1"/>
  <c r="A183" i="12" s="1"/>
  <c r="A184" i="12" s="1"/>
  <c r="A187" i="12" s="1"/>
  <c r="A188" i="12" s="1"/>
  <c r="A189" i="12" s="1"/>
  <c r="A190" i="12" s="1"/>
  <c r="A191" i="12" s="1"/>
  <c r="A192" i="12" s="1"/>
  <c r="A193" i="12" s="1"/>
  <c r="A196" i="12" s="1"/>
  <c r="A197" i="12" s="1"/>
  <c r="A198" i="12" s="1"/>
  <c r="A199" i="12" s="1"/>
  <c r="A200" i="12" s="1"/>
  <c r="A201" i="12" s="1"/>
  <c r="A202" i="12" s="1"/>
  <c r="A208" i="12" s="1"/>
  <c r="A209" i="12" s="1"/>
  <c r="A210" i="12" s="1"/>
  <c r="A211" i="12" s="1"/>
  <c r="A212" i="12" s="1"/>
  <c r="A213" i="12" s="1"/>
  <c r="A214" i="12" s="1"/>
  <c r="A215" i="12" s="1"/>
  <c r="A219" i="12" s="1"/>
  <c r="A220" i="12" s="1"/>
  <c r="A221" i="12" s="1"/>
  <c r="A222" i="12" s="1"/>
  <c r="A223" i="12" s="1"/>
  <c r="A224" i="12" s="1"/>
  <c r="A225" i="12" s="1"/>
  <c r="A226" i="12" s="1"/>
  <c r="A227" i="12" s="1"/>
  <c r="A232" i="12" s="1"/>
  <c r="A233" i="12" s="1"/>
  <c r="A234" i="12" s="1"/>
  <c r="A235" i="12" s="1"/>
  <c r="A236" i="12" s="1"/>
  <c r="A238" i="12" s="1"/>
  <c r="A239" i="12" s="1"/>
  <c r="A240" i="12" s="1"/>
  <c r="A245" i="12" s="1"/>
  <c r="A246" i="12" s="1"/>
  <c r="A247" i="12" s="1"/>
  <c r="A248" i="12" s="1"/>
  <c r="A249" i="12" s="1"/>
  <c r="A250" i="12" s="1"/>
  <c r="A251" i="12" s="1"/>
  <c r="A258" i="12" s="1"/>
  <c r="A259" i="12" s="1"/>
  <c r="A263" i="12" s="1"/>
  <c r="A264" i="12" s="1"/>
  <c r="A265" i="12" s="1"/>
  <c r="A266" i="12" s="1"/>
  <c r="A269" i="12" s="1"/>
  <c r="A270" i="12" s="1"/>
  <c r="A271" i="12" s="1"/>
  <c r="A272" i="12" s="1"/>
  <c r="A275" i="12" s="1"/>
  <c r="A276" i="12" s="1"/>
  <c r="A277" i="12" s="1"/>
  <c r="A278" i="12" s="1"/>
  <c r="A281" i="12" s="1"/>
  <c r="A282" i="12" s="1"/>
  <c r="A283" i="12" s="1"/>
  <c r="A284" i="12" s="1"/>
  <c r="A287" i="12" s="1"/>
  <c r="A288" i="12" s="1"/>
  <c r="A289" i="12" s="1"/>
  <c r="A290" i="12" s="1"/>
  <c r="A294" i="12" s="1"/>
  <c r="A295" i="12" s="1"/>
  <c r="A296" i="12" s="1"/>
  <c r="A297" i="12" s="1"/>
  <c r="A300" i="12" s="1"/>
  <c r="A301" i="12" s="1"/>
  <c r="A302" i="12" s="1"/>
  <c r="A303" i="12" s="1"/>
  <c r="A307" i="12" s="1"/>
  <c r="A308" i="12" s="1"/>
  <c r="A309" i="12" s="1"/>
  <c r="A310" i="12" s="1"/>
  <c r="A313" i="12" s="1"/>
  <c r="A314" i="12" s="1"/>
  <c r="A315" i="12" s="1"/>
  <c r="A316" i="12" s="1"/>
  <c r="A321" i="12" s="1"/>
  <c r="A326" i="12" s="1"/>
  <c r="A327" i="12" s="1"/>
  <c r="A328" i="12" s="1"/>
  <c r="A329" i="12" s="1"/>
  <c r="A336" i="12" s="1"/>
  <c r="A338" i="12" s="1"/>
  <c r="A339" i="12" s="1"/>
  <c r="A340" i="12" s="1"/>
  <c r="A341" i="12" s="1"/>
  <c r="A342" i="12" s="1"/>
  <c r="A344" i="12" s="1"/>
  <c r="A346" i="12" s="1"/>
  <c r="A347" i="12" s="1"/>
  <c r="A349" i="12" s="1"/>
  <c r="A350" i="12" s="1"/>
  <c r="A352" i="12" s="1"/>
  <c r="A353" i="12" s="1"/>
  <c r="A355" i="12" s="1"/>
  <c r="A356" i="12" s="1"/>
  <c r="A361" i="12" s="1"/>
  <c r="A366" i="12" s="1"/>
  <c r="A371" i="12" s="1"/>
  <c r="A372" i="12" s="1"/>
  <c r="A373" i="12" s="1"/>
  <c r="A379" i="12" s="1"/>
  <c r="A384" i="12" s="1"/>
  <c r="A389" i="12" s="1"/>
  <c r="A390" i="12" s="1"/>
  <c r="A395" i="12" s="1"/>
  <c r="A400" i="12" s="1"/>
  <c r="A401" i="12" s="1"/>
  <c r="A407" i="12" s="1"/>
  <c r="A408" i="12" s="1"/>
  <c r="A413" i="12" s="1"/>
  <c r="A414" i="12" s="1"/>
  <c r="A415" i="12" s="1"/>
  <c r="A416" i="12" s="1"/>
  <c r="A417" i="12" s="1"/>
  <c r="A418" i="12" s="1"/>
  <c r="A419" i="12" s="1"/>
  <c r="A420" i="12" s="1"/>
  <c r="A421" i="12" s="1"/>
  <c r="A422" i="12" s="1"/>
  <c r="A429" i="12" s="1"/>
  <c r="A430" i="12" s="1"/>
  <c r="A431" i="12" s="1"/>
  <c r="A432" i="12" s="1"/>
  <c r="A433" i="12" s="1"/>
  <c r="A434" i="12" s="1"/>
  <c r="A435" i="12" s="1"/>
  <c r="A436" i="12" s="1"/>
  <c r="A437" i="12" s="1"/>
  <c r="A438" i="12" s="1"/>
  <c r="A439" i="12" s="1"/>
  <c r="A440" i="12" s="1"/>
  <c r="A441" i="12" s="1"/>
  <c r="A443" i="12" s="1"/>
  <c r="A445" i="12" s="1"/>
  <c r="A448" i="12" s="1"/>
  <c r="A449" i="12" s="1"/>
  <c r="A450" i="12" s="1"/>
  <c r="A451" i="12" s="1"/>
  <c r="A452" i="12" s="1"/>
  <c r="A456" i="12" s="1"/>
  <c r="A457" i="12" s="1"/>
  <c r="A461" i="12" s="1"/>
  <c r="A464" i="12" s="1"/>
  <c r="A465" i="12" s="1"/>
  <c r="A466" i="12" s="1"/>
  <c r="A467" i="12" s="1"/>
  <c r="A468" i="12" s="1"/>
  <c r="A469" i="12" s="1"/>
  <c r="A470" i="12" s="1"/>
  <c r="A471" i="12" s="1"/>
  <c r="A472" i="12" s="1"/>
  <c r="A473" i="12" s="1"/>
  <c r="A474" i="12" s="1"/>
  <c r="A475" i="12" s="1"/>
  <c r="A476" i="12" s="1"/>
  <c r="A477" i="12" s="1"/>
  <c r="A485" i="12" s="1"/>
  <c r="A490" i="12" s="1"/>
  <c r="A491" i="12" s="1"/>
  <c r="A494" i="12" s="1"/>
  <c r="A499" i="12" s="1"/>
  <c r="A500" i="12" s="1"/>
  <c r="A503" i="12" s="1"/>
  <c r="A508" i="12" s="1"/>
  <c r="A509" i="12" s="1"/>
  <c r="A512" i="12" s="1"/>
  <c r="A517" i="12" s="1"/>
  <c r="A518" i="12" s="1"/>
  <c r="A522" i="12" s="1"/>
  <c r="A523" i="12" s="1"/>
  <c r="A528" i="12" s="1"/>
  <c r="A529" i="12" s="1"/>
  <c r="A532" i="12" s="1"/>
  <c r="A537" i="12" s="1"/>
  <c r="A538" i="12" s="1"/>
  <c r="A541" i="12" s="1"/>
  <c r="A542" i="12" s="1"/>
  <c r="A547" i="12" s="1"/>
  <c r="A548" i="12" s="1"/>
  <c r="A551" i="12" s="1"/>
  <c r="A552" i="12" s="1"/>
  <c r="A557" i="12" s="1"/>
  <c r="A558" i="12" s="1"/>
  <c r="A561" i="12" s="1"/>
  <c r="A566" i="12" s="1"/>
  <c r="A567" i="12" s="1"/>
  <c r="A568" i="12" s="1"/>
  <c r="A571" i="12" s="1"/>
  <c r="A576" i="12" s="1"/>
  <c r="A577" i="12" s="1"/>
  <c r="A578" i="12" s="1"/>
  <c r="A581" i="12" s="1"/>
  <c r="A582" i="12" s="1"/>
  <c r="A587" i="12" s="1"/>
  <c r="A588" i="12" s="1"/>
  <c r="A589" i="12" s="1"/>
  <c r="A592" i="12" s="1"/>
  <c r="A597" i="12" s="1"/>
  <c r="A598" i="12" s="1"/>
  <c r="A599" i="12" s="1"/>
  <c r="A600" i="12" s="1"/>
  <c r="A601" i="12" s="1"/>
  <c r="A604" i="12" s="1"/>
  <c r="A609" i="12" s="1"/>
  <c r="A610" i="12" s="1"/>
  <c r="A611" i="12" s="1"/>
  <c r="A612" i="12" s="1"/>
  <c r="A613" i="12" s="1"/>
  <c r="A616" i="12" s="1"/>
  <c r="A621" i="12" s="1"/>
  <c r="A622" i="12" s="1"/>
  <c r="A623" i="12" s="1"/>
  <c r="A624" i="12" s="1"/>
  <c r="A625" i="12" s="1"/>
  <c r="A628" i="12" s="1"/>
  <c r="A633" i="12" s="1"/>
  <c r="A634" i="12" s="1"/>
  <c r="A637" i="12" s="1"/>
  <c r="A642" i="12" s="1"/>
  <c r="A643" i="12" s="1"/>
  <c r="A646" i="12" s="1"/>
  <c r="A651" i="12" s="1"/>
  <c r="A652" i="12" s="1"/>
  <c r="A656" i="12" s="1"/>
  <c r="A657" i="12" s="1"/>
  <c r="A662" i="12" s="1"/>
  <c r="A663" i="12" s="1"/>
  <c r="A666" i="12" s="1"/>
  <c r="A671" i="12" s="1"/>
  <c r="A672" i="12" s="1"/>
  <c r="A675" i="12" s="1"/>
  <c r="A676" i="12" s="1"/>
  <c r="A681" i="12" s="1"/>
  <c r="A682" i="12" s="1"/>
  <c r="A685" i="12" s="1"/>
  <c r="A686" i="12" s="1"/>
  <c r="A691" i="12" s="1"/>
  <c r="A692" i="12" s="1"/>
  <c r="A695" i="12" s="1"/>
  <c r="A700" i="12" s="1"/>
  <c r="A701" i="12" s="1"/>
  <c r="A702" i="12" s="1"/>
  <c r="A705" i="12" s="1"/>
  <c r="A710" i="12" s="1"/>
  <c r="A711" i="12" s="1"/>
  <c r="A712" i="12" s="1"/>
  <c r="A715" i="12" s="1"/>
  <c r="A716" i="12" s="1"/>
  <c r="A721" i="12" s="1"/>
  <c r="A722" i="12" s="1"/>
  <c r="A723" i="12" s="1"/>
  <c r="A726" i="12" s="1"/>
  <c r="A731" i="12" s="1"/>
  <c r="A732" i="12" s="1"/>
  <c r="A733" i="12" s="1"/>
  <c r="A734" i="12" s="1"/>
  <c r="A735" i="12" s="1"/>
  <c r="A738" i="12" s="1"/>
  <c r="A743" i="12" s="1"/>
  <c r="A744" i="12" s="1"/>
  <c r="A745" i="12" s="1"/>
  <c r="A746" i="12" s="1"/>
  <c r="A747" i="12" s="1"/>
  <c r="A750" i="12" s="1"/>
  <c r="A755" i="12" s="1"/>
  <c r="A756" i="12" s="1"/>
  <c r="A757" i="12" s="1"/>
  <c r="A758" i="12" s="1"/>
  <c r="A759" i="12" s="1"/>
  <c r="A762" i="12" s="1"/>
  <c r="A767" i="12" s="1"/>
  <c r="A768" i="12" s="1"/>
  <c r="A771" i="12" s="1"/>
  <c r="A776" i="12" s="1"/>
  <c r="A777" i="12" s="1"/>
  <c r="A780" i="12" s="1"/>
  <c r="A785" i="12" s="1"/>
  <c r="A786" i="12" s="1"/>
  <c r="A790" i="12" s="1"/>
  <c r="A795" i="12" s="1"/>
  <c r="A796" i="12" s="1"/>
  <c r="A801" i="12" s="1"/>
  <c r="A802" i="12" s="1"/>
  <c r="A803" i="12" s="1"/>
  <c r="A804" i="12" s="1"/>
  <c r="A809" i="12" s="1"/>
  <c r="A814" i="12" s="1"/>
  <c r="A815" i="12" s="1"/>
  <c r="A816" i="12" s="1"/>
  <c r="A817" i="12" s="1"/>
  <c r="A818" i="12" s="1"/>
  <c r="A823" i="12" s="1"/>
  <c r="A828" i="12" s="1"/>
  <c r="A833" i="12" s="1"/>
  <c r="A838" i="12" s="1"/>
  <c r="A843" i="12" s="1"/>
  <c r="A848" i="12" s="1"/>
  <c r="A853" i="12" s="1"/>
  <c r="A858" i="12" s="1"/>
  <c r="A859" i="12" s="1"/>
  <c r="A860" i="12" s="1"/>
  <c r="A866" i="12" s="1"/>
  <c r="A867" i="12" s="1"/>
  <c r="A869" i="12" s="1"/>
  <c r="A870" i="12" s="1"/>
  <c r="A872" i="12" s="1"/>
  <c r="A873" i="12" s="1"/>
  <c r="A875" i="12" s="1"/>
  <c r="A877" i="12" s="1"/>
  <c r="A878" i="12" s="1"/>
  <c r="A883" i="12" s="1"/>
  <c r="A888" i="12" s="1"/>
  <c r="A889" i="12" s="1"/>
  <c r="A890" i="12" s="1"/>
  <c r="A891" i="12" s="1"/>
  <c r="A897" i="12" s="1"/>
  <c r="A898" i="12" s="1"/>
  <c r="A899" i="12" s="1"/>
  <c r="A900" i="12" s="1"/>
  <c r="A901" i="12" s="1"/>
  <c r="A902" i="12" s="1"/>
  <c r="A907" i="12" s="1"/>
  <c r="A912" i="12" s="1"/>
  <c r="A913" i="12" s="1"/>
  <c r="A914" i="12" s="1"/>
  <c r="A915" i="12" s="1"/>
  <c r="A916" i="12" s="1"/>
  <c r="A921" i="12" s="1"/>
  <c r="A928" i="12" s="1"/>
  <c r="A929" i="12" s="1"/>
  <c r="A930" i="12" s="1"/>
  <c r="A931" i="12" s="1"/>
  <c r="A932" i="12" s="1"/>
  <c r="A933" i="12" s="1"/>
  <c r="A940" i="12" s="1"/>
  <c r="A941" i="12" s="1"/>
  <c r="A943" i="12" s="1"/>
  <c r="A944" i="12" s="1"/>
  <c r="A946" i="12" s="1"/>
  <c r="A948" i="12" s="1"/>
  <c r="A949" i="12" s="1"/>
  <c r="A950" i="12" s="1"/>
  <c r="A956" i="12" s="1"/>
  <c r="A961" i="12" s="1"/>
  <c r="K967" i="12"/>
  <c r="K968" i="12" s="1"/>
  <c r="L967" i="12" l="1"/>
  <c r="L968" i="12" l="1"/>
  <c r="C5" i="12" l="1"/>
</calcChain>
</file>

<file path=xl/sharedStrings.xml><?xml version="1.0" encoding="utf-8"?>
<sst xmlns="http://schemas.openxmlformats.org/spreadsheetml/2006/main" count="2361" uniqueCount="476">
  <si>
    <t>UNIT</t>
  </si>
  <si>
    <t>DESCRIPTION</t>
  </si>
  <si>
    <t>TOTAL BASE BID</t>
  </si>
  <si>
    <t>WASTE</t>
  </si>
  <si>
    <t>QTY. W/ WASTE</t>
  </si>
  <si>
    <t>TOTAL COST</t>
  </si>
  <si>
    <t>PROJECT</t>
  </si>
  <si>
    <t>ADDRESS</t>
  </si>
  <si>
    <t>Date of submission</t>
  </si>
  <si>
    <t>Date of plans</t>
  </si>
  <si>
    <t>SR #</t>
  </si>
  <si>
    <t>SUB TOTALS</t>
  </si>
  <si>
    <t>SUB - TOTAL</t>
  </si>
  <si>
    <t>LF</t>
  </si>
  <si>
    <t>Sheet
No.</t>
  </si>
  <si>
    <t>Detail
No.</t>
  </si>
  <si>
    <t>SF</t>
  </si>
  <si>
    <t>CSI
No.</t>
  </si>
  <si>
    <t>EA</t>
  </si>
  <si>
    <t>09 00 00</t>
  </si>
  <si>
    <t>FINISHES</t>
  </si>
  <si>
    <t xml:space="preserve">4'x8' GB Sheet </t>
  </si>
  <si>
    <t>Sheets</t>
  </si>
  <si>
    <t>500' Tape Roll</t>
  </si>
  <si>
    <t>Rolls</t>
  </si>
  <si>
    <t>Joint Compound</t>
  </si>
  <si>
    <t>Gallons</t>
  </si>
  <si>
    <t>1-1/4" Drywall Screws</t>
  </si>
  <si>
    <t>Pounds</t>
  </si>
  <si>
    <t>DRYWALL ASSEMBLIES</t>
  </si>
  <si>
    <t>Drywall Assemblies Sub Total</t>
  </si>
  <si>
    <t>GWB CEILING</t>
  </si>
  <si>
    <t>GWB Ceiling Sub Total</t>
  </si>
  <si>
    <t>OVER HEAD &amp; PROFIT</t>
  </si>
  <si>
    <t xml:space="preserve">TOTAL BASE BID </t>
  </si>
  <si>
    <t>QTY.</t>
  </si>
  <si>
    <t>2x Misc. Blocking</t>
  </si>
  <si>
    <t>04 00 00</t>
  </si>
  <si>
    <t>MASNORY</t>
  </si>
  <si>
    <t>07 00 00</t>
  </si>
  <si>
    <t>THERMAL &amp; MOISTURE PROTECTION</t>
  </si>
  <si>
    <t>ROOF ACCESSORIES</t>
  </si>
  <si>
    <t>01 00 00</t>
  </si>
  <si>
    <t>GENERAL REQUIREMENTS</t>
  </si>
  <si>
    <t xml:space="preserve">General Requirements
 - Mobilization
- Permits
- Project Supervision
- Cleaning
- Insurance
- Submittals
- Shop Drawings
- Temporary Facilites
- Protection </t>
  </si>
  <si>
    <t>LS</t>
  </si>
  <si>
    <t>General Requirements Sub Total</t>
  </si>
  <si>
    <t>Scaffolding</t>
  </si>
  <si>
    <t>BATHROOM ACCESSORIES</t>
  </si>
  <si>
    <t>Bathroom Accessories Sub Total</t>
  </si>
  <si>
    <t>SPECIALITIES</t>
  </si>
  <si>
    <t>06 00 00</t>
  </si>
  <si>
    <t>LUMBER FRAMING</t>
  </si>
  <si>
    <t>Lumber Framing Sub Total</t>
  </si>
  <si>
    <t>BLOCKING</t>
  </si>
  <si>
    <t>Blocking Sub Total</t>
  </si>
  <si>
    <t>WOOD, PLASTICS &amp; COMPOSITES</t>
  </si>
  <si>
    <t>10 00 00</t>
  </si>
  <si>
    <t>11 00 00</t>
  </si>
  <si>
    <t>APPLIANCES</t>
  </si>
  <si>
    <t>Appliances Sub Total</t>
  </si>
  <si>
    <t>EQUIPMENTS</t>
  </si>
  <si>
    <t>Roof Accessories Sub Total</t>
  </si>
  <si>
    <t>UNIT COST</t>
  </si>
  <si>
    <t>12 00 00</t>
  </si>
  <si>
    <t>FURNISHINGS</t>
  </si>
  <si>
    <t>COUNTERTOP</t>
  </si>
  <si>
    <t>EXTERIOR SOFFIT</t>
  </si>
  <si>
    <t>Exterior Soffit Sub Total</t>
  </si>
  <si>
    <t>BASE &amp; UPPER CABINETS</t>
  </si>
  <si>
    <t>2'-0" Deep Base Cabinet</t>
  </si>
  <si>
    <t>1'-0" Deep Upper Cabinet</t>
  </si>
  <si>
    <t>1'-0" Deep Closet Shelves W/ Rod</t>
  </si>
  <si>
    <t>ROOF</t>
  </si>
  <si>
    <t>SHELVES</t>
  </si>
  <si>
    <t>1'-2" Deep W.I.C Shelves W/ Rod</t>
  </si>
  <si>
    <t>MILLWORK</t>
  </si>
  <si>
    <t>Millwork Sub Total</t>
  </si>
  <si>
    <t xml:space="preserve">Countertop @ Kitchen W/
- 4" Backsplash </t>
  </si>
  <si>
    <t xml:space="preserve">Countertop @ Baths W/
- 4" Backsplash </t>
  </si>
  <si>
    <t>1'-10" Deep Vanity Cabinet</t>
  </si>
  <si>
    <t>VANITY CABINETS</t>
  </si>
  <si>
    <t>A100-A101</t>
  </si>
  <si>
    <t>UNIT MASNORY</t>
  </si>
  <si>
    <t>Unit Masnory Sub Total</t>
  </si>
  <si>
    <t>1 Layer of 5/8" Gypsum Board On Both Sides of Wall</t>
  </si>
  <si>
    <t>WALL TYPE - 1</t>
  </si>
  <si>
    <t>1 Layer of 5/8" Moisture Resistant Gypsum Board</t>
  </si>
  <si>
    <t xml:space="preserve">Acoustical Sealant @ Top &amp; Bottom </t>
  </si>
  <si>
    <t>Partition Types/T104</t>
  </si>
  <si>
    <t>WALL TYPE - 1B</t>
  </si>
  <si>
    <t>1 Layer of 5/8" Gypsum Board On One Side of Wall</t>
  </si>
  <si>
    <t>WALL TYPE - 1C</t>
  </si>
  <si>
    <t>3-1/2" Batt Insulation</t>
  </si>
  <si>
    <t>5-1/2" Batt Insulation</t>
  </si>
  <si>
    <t>1 Layer of 5/8" Type"X" Gypsum Board On Both Sides of Wall</t>
  </si>
  <si>
    <t>3" Thermafiber Sound Attenuation Fire Blanket</t>
  </si>
  <si>
    <t>1/2" Resilient Channels</t>
  </si>
  <si>
    <t>1 Layer of 5/8" Type"X" Gypsum Board On One Side of Wall</t>
  </si>
  <si>
    <t>WALL TYPE - 2 (1 HR RATED UL# U327)</t>
  </si>
  <si>
    <t>WALL TYPE - 2A (1 HR RATED UL# U415)</t>
  </si>
  <si>
    <t>WALL TYPE - 2B (1 HR RATED 55 STC)</t>
  </si>
  <si>
    <t>WALL TYPE - 3 (1 HR RATED UL# U327)</t>
  </si>
  <si>
    <t>WALL TYPE - 5 (1 HR RATED UL# U415)</t>
  </si>
  <si>
    <t>1" Fire-Shield Shaft Liner</t>
  </si>
  <si>
    <t>(2) Layers of 5/8" Type"SCX" Gypsum Board On One Side of Wall</t>
  </si>
  <si>
    <t>2-1/2" "C-H" Studs @ 24" O.C.</t>
  </si>
  <si>
    <t>"J" Shaped Metal Runners @ Top &amp; Bottom</t>
  </si>
  <si>
    <t>WALL TYPE - 6 (1 HR RATED UL# U415)</t>
  </si>
  <si>
    <t>(2) Layers of 5/8" Type"X" Gypsum Board On One Side of Wall</t>
  </si>
  <si>
    <t>WALL TYPE - 6A (1 HR RATED UL# U415)</t>
  </si>
  <si>
    <t>WALL TYPE - 7 (1 HR RATED UL# U905)</t>
  </si>
  <si>
    <t>8" Bond Beam</t>
  </si>
  <si>
    <t>WALL TYPE - 9 (1 HR RATED UL# U905)</t>
  </si>
  <si>
    <t>WALL TYPE - 9A (1 HR RATED UL# U905)</t>
  </si>
  <si>
    <t>6" Bond Beam</t>
  </si>
  <si>
    <t>WALL TYPE - 11 (1 HR RATED UL# U905)</t>
  </si>
  <si>
    <t>3/4" Wood Furring</t>
  </si>
  <si>
    <t>WALL TYPE - 12 (1 HR RATED UL# U905)</t>
  </si>
  <si>
    <t>1" Wood Furring</t>
  </si>
  <si>
    <t>EXTERIOR CMU FURRING WALL (1 HR RATED UL# U303)</t>
  </si>
  <si>
    <t>1/2" Wood Furring</t>
  </si>
  <si>
    <t>EXTERIOR WALL (1 HR RATED UL# U303)</t>
  </si>
  <si>
    <t>5-1/2" Open Cell Spray Cavity Insulation (R-20)</t>
  </si>
  <si>
    <t>Assemblies/T104</t>
  </si>
  <si>
    <t>A-110</t>
  </si>
  <si>
    <t>Hardie Soffit Beaded Porch Panel Ceiling</t>
  </si>
  <si>
    <t>PAINTING</t>
  </si>
  <si>
    <t>Paint On Walls</t>
  </si>
  <si>
    <t>Paint On Ceilings</t>
  </si>
  <si>
    <t>Paint On Single Panel Doors</t>
  </si>
  <si>
    <t>Paint On Double Panel Doors</t>
  </si>
  <si>
    <t>Painting Sub Total</t>
  </si>
  <si>
    <t>FIRST FLOOR</t>
  </si>
  <si>
    <t>SECOND FLOOR</t>
  </si>
  <si>
    <t>1 Layer of 5/8" Type"X" Moisture Resistant Gypsum Board</t>
  </si>
  <si>
    <t>THIRD FLOOR</t>
  </si>
  <si>
    <t>6" Continuous Gutter</t>
  </si>
  <si>
    <t>Cant Strip Flashing</t>
  </si>
  <si>
    <t>Flashing @ Parapet Wall</t>
  </si>
  <si>
    <t>Metal Coping</t>
  </si>
  <si>
    <t>Scupper &amp; Splashblock</t>
  </si>
  <si>
    <t>Leader</t>
  </si>
  <si>
    <t>TPO ROOFING</t>
  </si>
  <si>
    <t>TPO Roofing Sub Total</t>
  </si>
  <si>
    <t>TPO Roof Membrane @ Parapet</t>
  </si>
  <si>
    <t>A-101</t>
  </si>
  <si>
    <t>Details/A400</t>
  </si>
  <si>
    <t>Plan Notes</t>
  </si>
  <si>
    <t>Detail 1/A500</t>
  </si>
  <si>
    <t>Thru Wall Flashing</t>
  </si>
  <si>
    <t>Details/A411</t>
  </si>
  <si>
    <t>A-410</t>
  </si>
  <si>
    <t>8" CMU Wall W/
- #4 @ 48" O.C. &amp; Ladder Type Joint Reinf. @ 16" O.C.
- Fill All Cells Solid</t>
  </si>
  <si>
    <t>Compressible Filler</t>
  </si>
  <si>
    <t>8" CMU Wall W/
- #4 @ 48" O.C. &amp; Ladder Type Joint Reinf. @ 16" O.C.</t>
  </si>
  <si>
    <t>6" CMU Wall W/
- #4 @ 48" O.C. &amp; Ladder Type Joint Reinf. @ 16" O.C.</t>
  </si>
  <si>
    <t>TRUSSES</t>
  </si>
  <si>
    <t>CMU</t>
  </si>
  <si>
    <t>A200</t>
  </si>
  <si>
    <t>Parged CMU Wall</t>
  </si>
  <si>
    <t>BRICK VENEER</t>
  </si>
  <si>
    <t>Fin Sch./A200</t>
  </si>
  <si>
    <t>9" Brick Header</t>
  </si>
  <si>
    <t>8" Cast Stone Cap</t>
  </si>
  <si>
    <t>Cast Stone Base</t>
  </si>
  <si>
    <t>Details/A702</t>
  </si>
  <si>
    <t>Metal Flashing @ Windows
-Sealent</t>
  </si>
  <si>
    <t>6/A500</t>
  </si>
  <si>
    <t>Flashing @ Canopy</t>
  </si>
  <si>
    <t>08 00 00</t>
  </si>
  <si>
    <t>OPENINGS</t>
  </si>
  <si>
    <t>DOORS, FRAMES &amp; HARDWARES</t>
  </si>
  <si>
    <t>INTERIOR DOORS</t>
  </si>
  <si>
    <t>Door Schedule/
A702</t>
  </si>
  <si>
    <t>Single Panel Doors
Size: 3'-0" x 7'-0" x 1-3/4"
Door Material: HM
Frame Material: Metal</t>
  </si>
  <si>
    <t>Doube Panel Doors
Size: (2)3'-0" x 7'-0" x 1-3/4"
Door Material: HM
Frame Material: Metal</t>
  </si>
  <si>
    <t>Single Panel Doors
Size: 3'-0" x 8'-0" x 1-3/4"
Door Material: HM
Frame Material: Metal</t>
  </si>
  <si>
    <t>Single Panel Doors
Size: 2'-8" x 8'-0" x 1-3/4"
Door Material: HM
Frame Material: Metal</t>
  </si>
  <si>
    <t>Single Panel Doors
Size: 2'-8" x 6'-8" x 1-3/4"
Door Material: HM
Frame Material: Metal</t>
  </si>
  <si>
    <t>Single Panel Doors
Size: 3'-0" x 6'-8" x 1-3/4"
Door Material: HM
Frame Material: Metal</t>
  </si>
  <si>
    <t>Single Panel Doors
Size: 3'-0" x 6'-8" x 1-3/4"
Door Material: WD
Frame Material: WD</t>
  </si>
  <si>
    <t>Single Panel Doors
Size: 2'-8" x 6'-8" x 1-3/4"
Door Material: WD
Frame Material: WD</t>
  </si>
  <si>
    <t>Double Panel Doors
Size: (2)2'-6" x 6'-8" x 1-3/4"
Door Material: WD
Frame Material: WD</t>
  </si>
  <si>
    <t>Double Panel Doors
Size: (2)3'-0" x 8'-0" x 1-3/4"
Door Material: WD
Frame Material: WD</t>
  </si>
  <si>
    <t>Single Panel Doors
Size: 6'-0" x 8'-0" x 1-3/4"
Door Material: WD/Vinyl
Frame Material: WD/Vinyl</t>
  </si>
  <si>
    <t>Single Panel Doors
Size: 3'-6" x 7'-0" x 1-3/4"
Door Material: HM
Frame Material: Metal</t>
  </si>
  <si>
    <t>Double Panel Doors
Size: (2)2'-0" x 7'-0" x 1-3/4"
Door Material: HM
Frame Material: Metal</t>
  </si>
  <si>
    <t>EXTERIOR DOORS</t>
  </si>
  <si>
    <t>A4.1-A4.2</t>
  </si>
  <si>
    <t>Window Schedule/A-2.3</t>
  </si>
  <si>
    <t>Garage Overhead Doors
Size: 18'-0" x 10'-5" x 1-3/4"
Door Material: AL
Frame Material: Metal</t>
  </si>
  <si>
    <t>WINDOWS</t>
  </si>
  <si>
    <t>Window Schedule/
A702</t>
  </si>
  <si>
    <t>Non Operable</t>
  </si>
  <si>
    <t>LOUVER</t>
  </si>
  <si>
    <t>STOREFRONT</t>
  </si>
  <si>
    <t>A702</t>
  </si>
  <si>
    <t>Storefront W/ Door
-5'-7"x9'-0"
-3'-0"x8'-0" AL/GL Door W/ AL Frame</t>
  </si>
  <si>
    <t>Storefront Window
-3'-0"x7'-6"</t>
  </si>
  <si>
    <t>HARDWARE</t>
  </si>
  <si>
    <t>A701</t>
  </si>
  <si>
    <t>HARDWARE SET #1
1 CONTINUOUS HINGE
1 EXIT DEVICE
1 EXIT DEVICE TRIM
1 RIM CYLINDER HOUSING
1 CYLINDER CORE
1 CLOSER
1 KICK PLATE
1 THRESHOLD
1 SET WEATHERSTRIP
1 DRIP CAP
1 DOOR BOTTOM</t>
  </si>
  <si>
    <t>HARDWARE SET #2
2 CONTINUOUS HINGE
2 EXIT DEVICE
2 EXIT DEVICE TRIM
1 CLOSER
1 CLOSER
2 KICK PLATE
1 WALL STOP(S)
1 THRESHOLD
1 SEAL
2 DOOR SWEEP</t>
  </si>
  <si>
    <t>HARDWARE SET #3
3 HINGE(S)
1 EXIT DEVICE
1 EXIT DEVICE TRIM
1 CLOSER
1 KICK PLATE
1 THRESHOLD
1 SEAL
1 DOOR SWEEP</t>
  </si>
  <si>
    <t>HARDWARE SET #4
3 HINGE(S)
1 EXIT DEVICE
1 EXIT DEVICE TRIM
1 CLOSER
1 KICK PLATE
1 WALL STOP(S)
1 THRESHOLD
1 SEAL
1 DOOR SWEEP</t>
  </si>
  <si>
    <t>HARDWARE SET #5
1 CONTINUOUS HINGE
1 LOCKSET
1 CYLINDER CORE
1 CLOSER
1 KICK PLATE
1 WALL STOP(S)
1 THRESHOLD
1 SEAL
1 DRIP CAP
1 DOOR BOTTOM</t>
  </si>
  <si>
    <t>HARDWARE SET #6
3 HINGE(S)
1 LOCKSET
1 CYLINDER CORE
1 CLOSER
1 KICK PLATE
1 WALL STOP(S)
1 THRESHOLD
1 SEAL
1 DOOR SWEEP</t>
  </si>
  <si>
    <t>HARDWARE SET #7
1 HINGE(S)
2 HINGE
1 ELECTRIFIED LOCKSET
1 CYLINDER CORE
1 CLOSER
1 KICK PLATE
1 THRESHOLD
1 SEAL
1 DOOR SWEEP
1 KEYPAD/PROX
1 POWER SUPPLY
1 WIRING DIAGRAM</t>
  </si>
  <si>
    <t>HARDWARE SET #8
3 HINGE(S)
1 PASSAGE SET
1 CLOSER
1 KICK PLATE
1 MOP PLATE
1 WALL STOP(S)
1 THRESHOLD
1 SEAL
1 AUTOMATIC DOOR BOTTOM</t>
  </si>
  <si>
    <t>HARDWARE SET #9
3 HINGE(S)
1 LOCKSET
1 CYLINDER CORE
1 CLOSER
1 KICK PLATE
1 WALL STOP(S)
1 THRESHOLD
1 SEAL
1 DOOR SWEEP
1 DOOR VIEWER</t>
  </si>
  <si>
    <t>HARDWARE SET #10
3 HINGES
1 PRIVACY SET
1 DOOR STOP
1 THRESHOLD
3 DOOR SILENCER</t>
  </si>
  <si>
    <t>HARDWARE SET #11
3 HINGES
1 PASSAGE SET
1 DOOR STOP
1 THRESHOLD
3 DOOR SILENCER</t>
  </si>
  <si>
    <t>HARDWARE SET #14
1 SLIDING DOOR SET
2 FLUSH PULL
2 DOOR PULL
1 THRESHOLD</t>
  </si>
  <si>
    <t>HARDWARE SET #16
ALL HARDWARE
-BY THE DOOR MFGR</t>
  </si>
  <si>
    <t>HARDWARE SET #17
1 CYLINDER CORE
1 SFIC CYLINDER HOUSING
1 KEYPAD/PROX
1 BALANCE OF HARDWARE</t>
  </si>
  <si>
    <t>Openings Sub Total</t>
  </si>
  <si>
    <t>TILING</t>
  </si>
  <si>
    <t>A705</t>
  </si>
  <si>
    <t>Fin Sch./A705</t>
  </si>
  <si>
    <t>Tiling Sub Total</t>
  </si>
  <si>
    <t>WOOD FLOORING</t>
  </si>
  <si>
    <t xml:space="preserve">Wood Flooring </t>
  </si>
  <si>
    <t>Wood Flooring Sub Total</t>
  </si>
  <si>
    <t>WALL BASE</t>
  </si>
  <si>
    <t>Wall Base Sub Total</t>
  </si>
  <si>
    <t>FLOOR TRANSITIONS</t>
  </si>
  <si>
    <t>Threshold Type/A700</t>
  </si>
  <si>
    <t>Aluminum Saddle</t>
  </si>
  <si>
    <t>Marble Saddle</t>
  </si>
  <si>
    <t>Saddle</t>
  </si>
  <si>
    <t>Transitions Sub Total</t>
  </si>
  <si>
    <t>EXTERIOR FINISHES</t>
  </si>
  <si>
    <t>CEMENT BOARD SIDING</t>
  </si>
  <si>
    <t>METAL PANEL SIDING</t>
  </si>
  <si>
    <t>EXTERIOR TRIM BOARDS</t>
  </si>
  <si>
    <t>4" FC Trim @ Window</t>
  </si>
  <si>
    <t>Assumed</t>
  </si>
  <si>
    <t>Starter Strip</t>
  </si>
  <si>
    <t>METAL BAND</t>
  </si>
  <si>
    <t>12" Ornamental Metal Band</t>
  </si>
  <si>
    <t>Glass Railing 3'-6"H</t>
  </si>
  <si>
    <t>Exterior Finishes Sub Total</t>
  </si>
  <si>
    <t>FLASHING</t>
  </si>
  <si>
    <t>WOOD RAILINGS</t>
  </si>
  <si>
    <t>Wood Railings Sub Total</t>
  </si>
  <si>
    <t>GLASS RAILINGS</t>
  </si>
  <si>
    <t>Glass Railings Sub Total</t>
  </si>
  <si>
    <t>LUXURY VINYL TILE</t>
  </si>
  <si>
    <t>Luxury Vinyl Tile Sub Total</t>
  </si>
  <si>
    <t>CARPET TILE</t>
  </si>
  <si>
    <t>Carpet Tile Sub Total</t>
  </si>
  <si>
    <t>EPOXY FLOORING</t>
  </si>
  <si>
    <t>Epoxy Flooring Sub Total</t>
  </si>
  <si>
    <t>WATERPROOFING TRAFFIC SYSTEM</t>
  </si>
  <si>
    <t>Waterproofng Traffic System Sub Total</t>
  </si>
  <si>
    <t>Trusses Sub Total</t>
  </si>
  <si>
    <t>CY</t>
  </si>
  <si>
    <t>Concrete (4000 Psi)</t>
  </si>
  <si>
    <t>SFCA</t>
  </si>
  <si>
    <t>Excavation</t>
  </si>
  <si>
    <t>Backfill</t>
  </si>
  <si>
    <t>03 00 00</t>
  </si>
  <si>
    <t>CONCRETE</t>
  </si>
  <si>
    <t>FOUNDATION PLAN</t>
  </si>
  <si>
    <t>PAD FOOTING</t>
  </si>
  <si>
    <t>Pad Footing F3.5 (-6'-0")
Length: 3'-6"
Width: 3'-6"
Depth: 1'-8"
Count: 01 EA</t>
  </si>
  <si>
    <t>S-101</t>
  </si>
  <si>
    <t>6/S-200</t>
  </si>
  <si>
    <t>Formwork (Pad Footing)</t>
  </si>
  <si>
    <t>8 #4 Each Way</t>
  </si>
  <si>
    <t>LB</t>
  </si>
  <si>
    <t>Pad Footing F3.5 (-7'-8")
Length: 3'-6"
Width: 3'-6"
Depth: 1'-8"
Count: 01 EA</t>
  </si>
  <si>
    <t>Pad Footing F5.0 (-6'-0")
Length: 5'-0"
Width: 5'-0"
Depth: 2'-0"
Count: 01 EA</t>
  </si>
  <si>
    <t>5/S-200</t>
  </si>
  <si>
    <t>9 #5 Each Way</t>
  </si>
  <si>
    <t>Pad Footing F5.0 (-4'-8")
Length: 5'-0"
Width: 5'-0"
Depth: 2'-0"
Count: 03 EA</t>
  </si>
  <si>
    <t>PIERS</t>
  </si>
  <si>
    <t>PIERS - P1
Length: 2'-0"
Width: 2'-0"
Depth: 1'-4"
Count: 03 EA</t>
  </si>
  <si>
    <t>Formwork (Pier)</t>
  </si>
  <si>
    <t>4 - #8 Vertical Bars</t>
  </si>
  <si>
    <t>#4 Stirrups @ 8" OC Assumed</t>
  </si>
  <si>
    <t>PIERS - P1
Length: 2'-0"
Width: 2'-0"
Depth: 1'-8"
Count: 01 EA</t>
  </si>
  <si>
    <t>PIERS - P1
Length: 2'-0"
Width: 2'-0"
Depth: 2'-0"
Count: 01 EA</t>
  </si>
  <si>
    <t>PIERS - P1
Length: 2'-0"
Width: 2'-0"
Depth: 3'-8"
Count: 01 EA</t>
  </si>
  <si>
    <t>Note: We have assumed stirrups for Piers. Please confirm</t>
  </si>
  <si>
    <t>Pad Footings Sub Total</t>
  </si>
  <si>
    <t>WALL FOOTING</t>
  </si>
  <si>
    <t>Wall Footing 1/S200 (-5'-0")
Length: 2'-0"
Width: 2'-0"
Depth: 1'-0"</t>
  </si>
  <si>
    <t>S-200</t>
  </si>
  <si>
    <t>Formwork (Wall Footing)</t>
  </si>
  <si>
    <t>#4 @ 12" O.C. Long. Bars</t>
  </si>
  <si>
    <t>4 - #4 Cont. Bars</t>
  </si>
  <si>
    <t>#4 @ 48" O.C. Vertical Dowel Bars into 6" Wall</t>
  </si>
  <si>
    <t>#4 @ 48" O.C. Vertical Dowel Bars into 8" Wall</t>
  </si>
  <si>
    <t>Wall Footing 1/S200 - (5'-8")
Length: 4'-0"
Width: 2'-0"
Depth: 1'-0"</t>
  </si>
  <si>
    <t>Wall Footing 2/S200 - (5'-0")
Length: 20'-0"
Width: 2'-0"
Depth: 1'-0"</t>
  </si>
  <si>
    <t>Wall Footing 2/S200 - (5'-8")
Length: 19'-0"
Width: 2'-0"
Depth: 1'-0"</t>
  </si>
  <si>
    <t>Wall Footing 2/S200 - (6'-4")
Length: 58'-0"
Width: 2'-0"
Depth: 1'-0"</t>
  </si>
  <si>
    <t>Wall Footing 2/S200 - (7'-0")
Length: 40'-0"
Width: 2'-0"
Depth: 1'-0"</t>
  </si>
  <si>
    <t>Shoring on Both Side of the Excavation</t>
  </si>
  <si>
    <t>Wall Footing 2/S200 - (7'-8")
Length: 39'-0"
Width: 2'-0"
Depth: 1'-0"</t>
  </si>
  <si>
    <t>Wall Footing 2A/S200 - (3'-8")
Length: 68'-0"
Width: 2'-0"
Depth: 1'-0"</t>
  </si>
  <si>
    <t>Wall Footing 2A/S200 - (5'-0")
Length: 9'-0"
Width: 2'-0"
Depth: 1'-0"</t>
  </si>
  <si>
    <t>Wall Footing 3/S200 - (3'-8")
Length: 49'-0"
Width: 2'-0"
Depth: 1'-0"</t>
  </si>
  <si>
    <t>Wall Footing 3/S200 - (5'-0")
Length: 41'-0"
Width: 2'-0"
Depth: 1'-0"</t>
  </si>
  <si>
    <t>Wall Footing 3A/S200 - (3'-8")
Length: 5'-0"
Width: 2'-0"
Depth: 1'-0"</t>
  </si>
  <si>
    <t>Wall Footing 3A/S200 - (5'-0")
Length: 11'-0"
Width: 2'-0"
Depth: 1'-0"</t>
  </si>
  <si>
    <t>Wall Footing 4/S200 - (3'-8")
Length: 6'-0"
Width: 2'-0"
Depth: 1'-0"</t>
  </si>
  <si>
    <t>Wall Footing Sub Total</t>
  </si>
  <si>
    <t>ELEVATOR MAT</t>
  </si>
  <si>
    <t xml:space="preserve">Area: 88 SF
Perimeter: 38'-0"
Depth: 1'-0" </t>
  </si>
  <si>
    <t>S-103</t>
  </si>
  <si>
    <t>#4 @ 12" O.C. Each Face Top and Bottom</t>
  </si>
  <si>
    <t>#4 @ 12" O.C. at sides of Sump Pit</t>
  </si>
  <si>
    <t>1' High Perimeter Formwork</t>
  </si>
  <si>
    <t>2' High Perimeter Formwork</t>
  </si>
  <si>
    <t>3' High Perimeter Formwork</t>
  </si>
  <si>
    <t>Key</t>
  </si>
  <si>
    <t xml:space="preserve">WaterProofing </t>
  </si>
  <si>
    <t>ELEVATOR PIT WALLS</t>
  </si>
  <si>
    <t>Length: 30'-9"
Thickness: 8"
Height: 4'-4"</t>
  </si>
  <si>
    <t>#5 x 5'-0" Long @ 48" OC to Match Wall Reinforcement</t>
  </si>
  <si>
    <t>#4 @ 12" O.C. Each Face Vertical</t>
  </si>
  <si>
    <t>#4 @ 12" O.C. Each Face Horizontal</t>
  </si>
  <si>
    <t>Formwork (Wall)</t>
  </si>
  <si>
    <t>Water Stop</t>
  </si>
  <si>
    <t>Sump Pit 2' X 2'
-1"X3/16" Galv. Bar Grating
-L1 1/4X1 1/4X3/16 W/ 1"X1/8"X4" Long Strap Anchor W/ 1" Hk @ 12" O.C. At Perimeter Of Sump Pit</t>
  </si>
  <si>
    <t>Elevator Pit Walls Sub Total</t>
  </si>
  <si>
    <t>SLAB ON GRADE</t>
  </si>
  <si>
    <t>4" Thick Normal Weight Concrete (4000 Psi) Slab on Grade w/ 6x6-W1.4xW1.4 WELDED WIRE FABRIC</t>
  </si>
  <si>
    <t>6" Crushed Stone</t>
  </si>
  <si>
    <t>10 Mil Vapor Barrier</t>
  </si>
  <si>
    <t>Control Joint</t>
  </si>
  <si>
    <t>Expansion Joint</t>
  </si>
  <si>
    <t>Thickened Edge</t>
  </si>
  <si>
    <t>8" Edge Form</t>
  </si>
  <si>
    <t>Slab On Grade Sub Total</t>
  </si>
  <si>
    <t>FOOTING STEPS</t>
  </si>
  <si>
    <t>Formwork (Steps)</t>
  </si>
  <si>
    <t>Extra Labor Price</t>
  </si>
  <si>
    <t>Footing Steps Sub Total</t>
  </si>
  <si>
    <t>BELOW GRADE CMU WALL</t>
  </si>
  <si>
    <t>Brick Veneer Sub Total</t>
  </si>
  <si>
    <t>Parging Sub Total</t>
  </si>
  <si>
    <t>Balcony Door (04 EA.)
Door Size: 6'-0" x 8'-0"</t>
  </si>
  <si>
    <t>OVERHEAD DOORS</t>
  </si>
  <si>
    <t>Note: Hardware prices are included above under doors, storefront, windows and frames.</t>
  </si>
  <si>
    <t>ELEVATOR</t>
  </si>
  <si>
    <t>14 00 00</t>
  </si>
  <si>
    <t>CONVEYING SYSTEM</t>
  </si>
  <si>
    <t>Elevator Sub Total</t>
  </si>
  <si>
    <t>Mechnical Curb &amp; Flashing</t>
  </si>
  <si>
    <t>05 00 00</t>
  </si>
  <si>
    <t>METALS</t>
  </si>
  <si>
    <t>LADDER</t>
  </si>
  <si>
    <t>12/A420</t>
  </si>
  <si>
    <t xml:space="preserve"> Ladder Sub Total</t>
  </si>
  <si>
    <t>Flashing @ Duct Openings</t>
  </si>
  <si>
    <t>Penetration Flashings</t>
  </si>
  <si>
    <t>EA.</t>
  </si>
  <si>
    <t>Exterior Signage Sub Total</t>
  </si>
  <si>
    <t>EXTERIOR SIGNAGE</t>
  </si>
  <si>
    <t>1'-0" Deep Adjustable Shelves</t>
  </si>
  <si>
    <t>CANOPY</t>
  </si>
  <si>
    <t>Canopy Sub Total</t>
  </si>
  <si>
    <t>WALL PANELS</t>
  </si>
  <si>
    <t>A-705</t>
  </si>
  <si>
    <t>Finish Schedule/A705</t>
  </si>
  <si>
    <t>Wall Panels Sub Total</t>
  </si>
  <si>
    <t>MAILBOXES</t>
  </si>
  <si>
    <t>A-121</t>
  </si>
  <si>
    <t>Detail 9/A121</t>
  </si>
  <si>
    <t>Mailboxes Sub Total</t>
  </si>
  <si>
    <t>INTERIOR SIGNAGES</t>
  </si>
  <si>
    <t>Details/A704</t>
  </si>
  <si>
    <t>Interior Signages Sub Total</t>
  </si>
  <si>
    <t>UNDERLAYMENT</t>
  </si>
  <si>
    <t>1-1/4" Levelrock Brand Floor Underlayment</t>
  </si>
  <si>
    <t>Underlayment Sub Total</t>
  </si>
  <si>
    <t>Shoring</t>
  </si>
  <si>
    <t>Base Plate W/ Anchor Bolts 
- Grout</t>
  </si>
  <si>
    <t>STRUCTURAL FRAMING</t>
  </si>
  <si>
    <t>Structural Framing Sub Total</t>
  </si>
  <si>
    <t>W-COLUMNS</t>
  </si>
  <si>
    <t>W-BEAMS</t>
  </si>
  <si>
    <t>PLATES</t>
  </si>
  <si>
    <t>BEAM POCKETS PLATES</t>
  </si>
  <si>
    <t>W10x33</t>
  </si>
  <si>
    <t>W14x22</t>
  </si>
  <si>
    <t>W16x31</t>
  </si>
  <si>
    <t>W21x44</t>
  </si>
  <si>
    <t>W21x68</t>
  </si>
  <si>
    <t>W8x24 Hoist Beam</t>
  </si>
  <si>
    <t>(4) 3/4" Dia. F1554 Anchor Bolts Embeded</t>
  </si>
  <si>
    <t>ANCHOR BOLTS</t>
  </si>
  <si>
    <t>(2) 1/2"X5" Long Headed Studs</t>
  </si>
  <si>
    <t>Base Plate
Size: 16" x 16" x 1"</t>
  </si>
  <si>
    <t>Bearing Plate
Size: 8" x 7" x 1"</t>
  </si>
  <si>
    <t>Bearing Plate
Size: 8" x 6" x 1/2"</t>
  </si>
  <si>
    <t>L5x5x3/8</t>
  </si>
  <si>
    <t>STEEL ANGLE/LOOSE LINTELS</t>
  </si>
  <si>
    <t>L5x3-1/2x5/16</t>
  </si>
  <si>
    <t>Allowance For Misc. Steel</t>
  </si>
  <si>
    <t xml:space="preserve">ALLOWANCE </t>
  </si>
  <si>
    <t>Allowance For Hardware</t>
  </si>
  <si>
    <t>TRASH BINS</t>
  </si>
  <si>
    <t>Trash Bins Sub Total</t>
  </si>
  <si>
    <t>Schedule/A703</t>
  </si>
  <si>
    <t>2x Blocking @ Millwork</t>
  </si>
  <si>
    <t>Metal Blocking Sub Total</t>
  </si>
  <si>
    <t>METAL BLOCKING</t>
  </si>
  <si>
    <t>1'-0" High 20GA. Sheet Blocking W/
- (2) 1-1/2" Galv. Roofing Nails</t>
  </si>
  <si>
    <t>1'-6" High 20GA. Sheet Blocking W/
- (2) 1-1/2" Galv. Roofing Nails</t>
  </si>
  <si>
    <t>0'-8" High 20GA. Sheet Blocking W/
- (2) 1-1/2" Galv. Roofing Nails</t>
  </si>
  <si>
    <t>Mechanical Louver
Size: 36"x36"</t>
  </si>
  <si>
    <t>E-mail: estimate@msbestimating.com</t>
  </si>
  <si>
    <r>
      <rPr>
        <b/>
        <sz val="12"/>
        <rFont val="Times New Roman"/>
        <family val="1"/>
      </rPr>
      <t>6" CMU Wall Below Grade</t>
    </r>
    <r>
      <rPr>
        <sz val="12"/>
        <rFont val="Times New Roman"/>
        <family val="1"/>
      </rPr>
      <t xml:space="preserve">
- Full Grouted
- Vertical &amp; Horizontal Reinforcement</t>
    </r>
  </si>
  <si>
    <r>
      <rPr>
        <b/>
        <sz val="12"/>
        <rFont val="Times New Roman"/>
        <family val="1"/>
      </rPr>
      <t>8" CMU Wall  Below Grade</t>
    </r>
    <r>
      <rPr>
        <sz val="12"/>
        <rFont val="Times New Roman"/>
        <family val="1"/>
      </rPr>
      <t xml:space="preserve">
- Full Grouted
- Vertical &amp; Horizontal Reinforcement</t>
    </r>
  </si>
  <si>
    <r>
      <t xml:space="preserve">Facebrick
</t>
    </r>
    <r>
      <rPr>
        <b/>
        <sz val="12"/>
        <rFont val="Times New Roman"/>
        <family val="1"/>
      </rPr>
      <t xml:space="preserve">Specs: </t>
    </r>
    <r>
      <rPr>
        <sz val="12"/>
        <rFont val="Times New Roman"/>
        <family val="1"/>
      </rPr>
      <t xml:space="preserve">3 5/8" Standard Brick
</t>
    </r>
    <r>
      <rPr>
        <b/>
        <sz val="12"/>
        <rFont val="Times New Roman"/>
        <family val="1"/>
      </rPr>
      <t>Manufacturer:</t>
    </r>
    <r>
      <rPr>
        <sz val="12"/>
        <rFont val="Times New Roman"/>
        <family val="1"/>
      </rPr>
      <t xml:space="preserve"> Glen Grey
</t>
    </r>
    <r>
      <rPr>
        <b/>
        <sz val="12"/>
        <rFont val="Times New Roman"/>
        <family val="1"/>
      </rPr>
      <t>Color:</t>
    </r>
    <r>
      <rPr>
        <sz val="12"/>
        <rFont val="Times New Roman"/>
        <family val="1"/>
      </rPr>
      <t xml:space="preserve"> Stone Grey Claycoat</t>
    </r>
  </si>
  <si>
    <r>
      <t xml:space="preserve">Elevator Pit Ladder
</t>
    </r>
    <r>
      <rPr>
        <b/>
        <sz val="12"/>
        <rFont val="Times New Roman"/>
        <family val="1"/>
      </rPr>
      <t>Specs:</t>
    </r>
    <r>
      <rPr>
        <sz val="12"/>
        <rFont val="Times New Roman"/>
        <family val="1"/>
      </rPr>
      <t xml:space="preserve">
- 3/8" x 2-1/2" Steel Stringers
- 3/4" Dia. Steel Rung-Extend Rungs Thru Stringers
- 2-1/2" x 2-1/2" x 1/4" x 2-1/2" Steel Angles</t>
    </r>
  </si>
  <si>
    <r>
      <t xml:space="preserve">Canopy 10'-0" AFF
</t>
    </r>
    <r>
      <rPr>
        <sz val="12"/>
        <rFont val="Times New Roman"/>
        <family val="1"/>
      </rPr>
      <t>- Decking
- Saddle Bracket
- Alum. J Channel
- 2" x 2" Alum. Support
- (4) 1" Dia. Galv. Steel Rod
- Galv. Bolt</t>
    </r>
  </si>
  <si>
    <r>
      <t xml:space="preserve">Lumber
</t>
    </r>
    <r>
      <rPr>
        <b/>
        <sz val="12"/>
        <rFont val="Times New Roman"/>
        <family val="1"/>
      </rPr>
      <t>Refer to "Detailed Lumber Order List" for detailed estiamte</t>
    </r>
  </si>
  <si>
    <r>
      <t xml:space="preserve">Trusses
</t>
    </r>
    <r>
      <rPr>
        <b/>
        <sz val="12"/>
        <rFont val="Times New Roman"/>
        <family val="1"/>
      </rPr>
      <t>Refer to "Trusses" for detailed estiamte</t>
    </r>
  </si>
  <si>
    <r>
      <rPr>
        <b/>
        <sz val="12"/>
        <rFont val="Times New Roman"/>
        <family val="1"/>
      </rPr>
      <t>Wood Guardrails 3'-0"H</t>
    </r>
    <r>
      <rPr>
        <sz val="12"/>
        <rFont val="Times New Roman"/>
        <family val="1"/>
      </rPr>
      <t xml:space="preserve">
- 1-1/2" Dia. Wood Guardrails to be Painted
- Typical 3/8" Dia. Wood Baluster</t>
    </r>
  </si>
  <si>
    <r>
      <rPr>
        <b/>
        <sz val="12"/>
        <rFont val="Times New Roman"/>
        <family val="1"/>
      </rPr>
      <t>Wood Handrails</t>
    </r>
    <r>
      <rPr>
        <sz val="12"/>
        <rFont val="Times New Roman"/>
        <family val="1"/>
      </rPr>
      <t xml:space="preserve">
- 1-1/2" Dia. Wood Handrails to be Painted</t>
    </r>
  </si>
  <si>
    <r>
      <rPr>
        <b/>
        <sz val="12"/>
        <rFont val="Times New Roman"/>
        <family val="1"/>
      </rPr>
      <t>Class B Roof Assembly As;</t>
    </r>
    <r>
      <rPr>
        <sz val="12"/>
        <rFont val="Times New Roman"/>
        <family val="1"/>
      </rPr>
      <t xml:space="preserve">
TPO Roof Membrane
- Open Cell Spray Foam Cavity Insulation (R-30)</t>
    </r>
  </si>
  <si>
    <r>
      <t xml:space="preserve">Windows A </t>
    </r>
    <r>
      <rPr>
        <b/>
        <sz val="12"/>
        <rFont val="Times New Roman"/>
        <family val="1"/>
      </rPr>
      <t>(10 EA.)</t>
    </r>
    <r>
      <rPr>
        <sz val="12"/>
        <rFont val="Times New Roman"/>
        <family val="1"/>
      </rPr>
      <t xml:space="preserve">
Size: 6'-0 1/2" x 6'-0 3/8"
Material: WD/Vinyl</t>
    </r>
  </si>
  <si>
    <r>
      <t xml:space="preserve">Windows B </t>
    </r>
    <r>
      <rPr>
        <b/>
        <sz val="12"/>
        <rFont val="Times New Roman"/>
        <family val="1"/>
      </rPr>
      <t>(10 EA.)</t>
    </r>
    <r>
      <rPr>
        <sz val="12"/>
        <rFont val="Times New Roman"/>
        <family val="1"/>
      </rPr>
      <t xml:space="preserve">
Size: 3'-0 1/2" x 6'-0 3/8"
Material: WD/Vinyl</t>
    </r>
  </si>
  <si>
    <r>
      <t xml:space="preserve">Windows C </t>
    </r>
    <r>
      <rPr>
        <b/>
        <sz val="12"/>
        <rFont val="Times New Roman"/>
        <family val="1"/>
      </rPr>
      <t>(01 EA.)</t>
    </r>
    <r>
      <rPr>
        <sz val="12"/>
        <rFont val="Times New Roman"/>
        <family val="1"/>
      </rPr>
      <t xml:space="preserve">
Size: 6'-0 1/2" x 6'-0 3/8"
Material: WD/Vinyl</t>
    </r>
  </si>
  <si>
    <r>
      <t xml:space="preserve">Windows D </t>
    </r>
    <r>
      <rPr>
        <b/>
        <sz val="12"/>
        <rFont val="Times New Roman"/>
        <family val="1"/>
      </rPr>
      <t>(4 EA.)</t>
    </r>
    <r>
      <rPr>
        <sz val="12"/>
        <rFont val="Times New Roman"/>
        <family val="1"/>
      </rPr>
      <t xml:space="preserve">
Size: 9'-0 1/2" x 6'-0 3/8"
Material: WD/Vinyl</t>
    </r>
  </si>
  <si>
    <r>
      <t xml:space="preserve">Windows E </t>
    </r>
    <r>
      <rPr>
        <b/>
        <sz val="12"/>
        <rFont val="Times New Roman"/>
        <family val="1"/>
      </rPr>
      <t>(2 EA.)</t>
    </r>
    <r>
      <rPr>
        <sz val="12"/>
        <rFont val="Times New Roman"/>
        <family val="1"/>
      </rPr>
      <t xml:space="preserve">
Size: 3'-0 1/2" x 2'-0 5/8"
Material: WD/Vinyl</t>
    </r>
  </si>
  <si>
    <r>
      <rPr>
        <b/>
        <sz val="12"/>
        <rFont val="Times New Roman"/>
        <family val="1"/>
      </rPr>
      <t>Specification:</t>
    </r>
    <r>
      <rPr>
        <sz val="12"/>
        <rFont val="Times New Roman"/>
        <family val="1"/>
      </rPr>
      <t xml:space="preserve">
WINDOW SPECIFICATION:
1. MANUFACTURER: ANDERSON
2. WINDOW SERIES: 400 SERIES
3. ALL 400 SERIES CASEMENT WINDOWS WILL BE MODEL NUMBER CXW16  
4. TYPE: VINYL WOOD CLAD WINDOW CASEMENT AND AWNING
5. FINISH: BLACK
6. GLASS:  LOW-E
7. INCLUDE INSECT SCREENS AT ALL OPERABLE WINDOWS AS PER MANUF. 
SPECIFICATIONS
WINDOW PERFORMANCE REQUIREMENTS:
PRODUCT STANDARD: AAMA/WDMA/CSA 101/ I.S.2/A440
THERMAL TRANSMITTANCE: NFRC 100 MAXIMUM WHOLE-WINDOW U-FACTOR OF 0.3 BTU/SQ.FT. X H X DEG F.SOLAR HEAT GAIN COEFFICIENT (SHGC): NFRC 200 MAXIMUM WHOLE-WINDOW 
SHGC OF 0.32.</t>
    </r>
  </si>
  <si>
    <r>
      <rPr>
        <b/>
        <sz val="12"/>
        <rFont val="Times New Roman"/>
        <family val="1"/>
      </rPr>
      <t>Specification:</t>
    </r>
    <r>
      <rPr>
        <sz val="12"/>
        <rFont val="Times New Roman"/>
        <family val="1"/>
      </rPr>
      <t xml:space="preserve">
ALUMINUM STOREFRONT SYSTEM SPECIFICATION:
1. MANUFACTURER: KAWNEER
2. MODEL: 1600
3. FINISH: ANODIC COATING  
4. COLOR: BLACK
5. GLASS PLANE OPTIONS:  LOW-E OUTSIDE GLAZE
6. GLASS: GUARDIAN SUNGUARD CRYSTAL BLUE 68 CLEAR
7. PERFORMANCE REQUIREMENTS:
· PRODUCT STANDARD: AAMA/WDMA/CSA 101/ I.S.2/A440
· THERMAL TRANSMITTANCE: NFRC 100 MAXIMUM WHOLE-WINDOW
· U-FACTOR OF .3 BTU//HR/SQ.FT./DEG F</t>
    </r>
  </si>
  <si>
    <r>
      <rPr>
        <b/>
        <sz val="12"/>
        <rFont val="Times New Roman"/>
        <family val="1"/>
      </rPr>
      <t>Floor/Ceiling Assembly FC-1 As;</t>
    </r>
    <r>
      <rPr>
        <sz val="12"/>
        <rFont val="Times New Roman"/>
        <family val="1"/>
      </rPr>
      <t xml:space="preserve">
- 1 Layer of 5/8" Type"C" Gypsum Board Panels
- 1/2" RC-1 Channels @ 12" O.C.
- 3-1/2" Fiberglass Insulation</t>
    </r>
  </si>
  <si>
    <r>
      <rPr>
        <b/>
        <sz val="12"/>
        <rFont val="Times New Roman"/>
        <family val="1"/>
      </rPr>
      <t>Roof/Ceiling Assembly RC-1 As;</t>
    </r>
    <r>
      <rPr>
        <sz val="12"/>
        <rFont val="Times New Roman"/>
        <family val="1"/>
      </rPr>
      <t xml:space="preserve">
- 1 Layer of 5/8" Type"C" Gypsum Board Panels
- 1/2" RC-1 Channels @ 12" O.C.</t>
    </r>
  </si>
  <si>
    <r>
      <rPr>
        <b/>
        <sz val="12"/>
        <rFont val="Times New Roman"/>
        <family val="1"/>
      </rPr>
      <t>Ceiling Assembly @ Stairs As;</t>
    </r>
    <r>
      <rPr>
        <sz val="12"/>
        <rFont val="Times New Roman"/>
        <family val="1"/>
      </rPr>
      <t xml:space="preserve">
- 1 Layer of 5/8" Type"X" Gypsum Board</t>
    </r>
  </si>
  <si>
    <r>
      <rPr>
        <b/>
        <sz val="12"/>
        <rFont val="Times New Roman"/>
        <family val="1"/>
      </rPr>
      <t>Ceiling Assembly @ Stairs Within Garage Space As;</t>
    </r>
    <r>
      <rPr>
        <sz val="12"/>
        <rFont val="Times New Roman"/>
        <family val="1"/>
      </rPr>
      <t xml:space="preserve">
- (2) Layers of 5/8" Type"X" Gypsum Board</t>
    </r>
  </si>
  <si>
    <r>
      <rPr>
        <b/>
        <sz val="12"/>
        <rFont val="Times New Roman"/>
        <family val="1"/>
      </rPr>
      <t>Ceramic Tile</t>
    </r>
    <r>
      <rPr>
        <sz val="12"/>
        <rFont val="Times New Roman"/>
        <family val="1"/>
      </rPr>
      <t xml:space="preserve">
</t>
    </r>
    <r>
      <rPr>
        <b/>
        <sz val="12"/>
        <rFont val="Times New Roman"/>
        <family val="1"/>
      </rPr>
      <t xml:space="preserve">Manufacturer: </t>
    </r>
    <r>
      <rPr>
        <sz val="12"/>
        <rFont val="Times New Roman"/>
        <family val="1"/>
      </rPr>
      <t xml:space="preserve">Daltile
</t>
    </r>
    <r>
      <rPr>
        <b/>
        <sz val="12"/>
        <rFont val="Times New Roman"/>
        <family val="1"/>
      </rPr>
      <t>Collection:</t>
    </r>
    <r>
      <rPr>
        <sz val="12"/>
        <rFont val="Times New Roman"/>
        <family val="1"/>
      </rPr>
      <t xml:space="preserve"> Koncrete
</t>
    </r>
    <r>
      <rPr>
        <b/>
        <sz val="12"/>
        <rFont val="Times New Roman"/>
        <family val="1"/>
      </rPr>
      <t>Size:</t>
    </r>
    <r>
      <rPr>
        <sz val="12"/>
        <rFont val="Times New Roman"/>
        <family val="1"/>
      </rPr>
      <t xml:space="preserve"> 18x18
</t>
    </r>
    <r>
      <rPr>
        <b/>
        <sz val="12"/>
        <rFont val="Times New Roman"/>
        <family val="1"/>
      </rPr>
      <t xml:space="preserve">Color: </t>
    </r>
    <r>
      <rPr>
        <sz val="12"/>
        <rFont val="Times New Roman"/>
        <family val="1"/>
      </rPr>
      <t xml:space="preserve">Grey KC04
</t>
    </r>
    <r>
      <rPr>
        <b/>
        <sz val="12"/>
        <rFont val="Times New Roman"/>
        <family val="1"/>
      </rPr>
      <t>Finish:</t>
    </r>
    <r>
      <rPr>
        <sz val="12"/>
        <rFont val="Times New Roman"/>
        <family val="1"/>
      </rPr>
      <t xml:space="preserve"> Matte</t>
    </r>
  </si>
  <si>
    <r>
      <rPr>
        <b/>
        <sz val="12"/>
        <rFont val="Times New Roman"/>
        <family val="1"/>
      </rPr>
      <t>Tile</t>
    </r>
    <r>
      <rPr>
        <sz val="12"/>
        <rFont val="Times New Roman"/>
        <family val="1"/>
      </rPr>
      <t xml:space="preserve">
</t>
    </r>
    <r>
      <rPr>
        <b/>
        <sz val="12"/>
        <rFont val="Times New Roman"/>
        <family val="1"/>
      </rPr>
      <t>Manufacturer:</t>
    </r>
    <r>
      <rPr>
        <sz val="12"/>
        <rFont val="Times New Roman"/>
        <family val="1"/>
      </rPr>
      <t xml:space="preserve"> Price Stone
</t>
    </r>
    <r>
      <rPr>
        <b/>
        <sz val="12"/>
        <rFont val="Times New Roman"/>
        <family val="1"/>
      </rPr>
      <t xml:space="preserve">Collection: </t>
    </r>
    <r>
      <rPr>
        <sz val="12"/>
        <rFont val="Times New Roman"/>
        <family val="1"/>
      </rPr>
      <t xml:space="preserve">Valentino Elementi
</t>
    </r>
    <r>
      <rPr>
        <b/>
        <sz val="12"/>
        <rFont val="Times New Roman"/>
        <family val="1"/>
      </rPr>
      <t xml:space="preserve">Size: </t>
    </r>
    <r>
      <rPr>
        <sz val="12"/>
        <rFont val="Times New Roman"/>
        <family val="1"/>
      </rPr>
      <t xml:space="preserve">24"x24"
</t>
    </r>
    <r>
      <rPr>
        <b/>
        <sz val="12"/>
        <rFont val="Times New Roman"/>
        <family val="1"/>
      </rPr>
      <t xml:space="preserve">Color: </t>
    </r>
    <r>
      <rPr>
        <sz val="12"/>
        <rFont val="Times New Roman"/>
        <family val="1"/>
      </rPr>
      <t>Quadriti Grigio</t>
    </r>
  </si>
  <si>
    <r>
      <rPr>
        <b/>
        <sz val="12"/>
        <rFont val="Times New Roman"/>
        <family val="1"/>
      </rPr>
      <t>Wall Tile</t>
    </r>
    <r>
      <rPr>
        <sz val="12"/>
        <rFont val="Times New Roman"/>
        <family val="1"/>
      </rPr>
      <t xml:space="preserve">
</t>
    </r>
    <r>
      <rPr>
        <b/>
        <sz val="12"/>
        <rFont val="Times New Roman"/>
        <family val="1"/>
      </rPr>
      <t>Manufacturer:</t>
    </r>
    <r>
      <rPr>
        <sz val="12"/>
        <rFont val="Times New Roman"/>
        <family val="1"/>
      </rPr>
      <t xml:space="preserve"> Daltile
</t>
    </r>
    <r>
      <rPr>
        <b/>
        <sz val="12"/>
        <rFont val="Times New Roman"/>
        <family val="1"/>
      </rPr>
      <t>Collection:</t>
    </r>
    <r>
      <rPr>
        <sz val="12"/>
        <rFont val="Times New Roman"/>
        <family val="1"/>
      </rPr>
      <t xml:space="preserve"> Color Wheel Glazed Ceramic Linear
</t>
    </r>
    <r>
      <rPr>
        <b/>
        <sz val="12"/>
        <rFont val="Times New Roman"/>
        <family val="1"/>
      </rPr>
      <t xml:space="preserve">Size: </t>
    </r>
    <r>
      <rPr>
        <sz val="12"/>
        <rFont val="Times New Roman"/>
        <family val="1"/>
      </rPr>
      <t xml:space="preserve">4x16
</t>
    </r>
    <r>
      <rPr>
        <b/>
        <sz val="12"/>
        <rFont val="Times New Roman"/>
        <family val="1"/>
      </rPr>
      <t>Color:</t>
    </r>
    <r>
      <rPr>
        <sz val="12"/>
        <rFont val="Times New Roman"/>
        <family val="1"/>
      </rPr>
      <t xml:space="preserve"> Arctic White
</t>
    </r>
    <r>
      <rPr>
        <b/>
        <sz val="12"/>
        <rFont val="Times New Roman"/>
        <family val="1"/>
      </rPr>
      <t>Finish:</t>
    </r>
    <r>
      <rPr>
        <sz val="12"/>
        <rFont val="Times New Roman"/>
        <family val="1"/>
      </rPr>
      <t xml:space="preserve"> Semi glass</t>
    </r>
  </si>
  <si>
    <r>
      <rPr>
        <b/>
        <sz val="12"/>
        <rFont val="Times New Roman"/>
        <family val="1"/>
      </rPr>
      <t>Backsplash Tile</t>
    </r>
    <r>
      <rPr>
        <sz val="12"/>
        <rFont val="Times New Roman"/>
        <family val="1"/>
      </rPr>
      <t xml:space="preserve">
</t>
    </r>
    <r>
      <rPr>
        <b/>
        <sz val="12"/>
        <rFont val="Times New Roman"/>
        <family val="1"/>
      </rPr>
      <t xml:space="preserve">Manufacturer: </t>
    </r>
    <r>
      <rPr>
        <sz val="12"/>
        <rFont val="Times New Roman"/>
        <family val="1"/>
      </rPr>
      <t xml:space="preserve">Daltile
</t>
    </r>
    <r>
      <rPr>
        <b/>
        <sz val="12"/>
        <rFont val="Times New Roman"/>
        <family val="1"/>
      </rPr>
      <t>Color:</t>
    </r>
    <r>
      <rPr>
        <sz val="12"/>
        <rFont val="Times New Roman"/>
        <family val="1"/>
      </rPr>
      <t xml:space="preserve"> Sail AP06</t>
    </r>
  </si>
  <si>
    <r>
      <rPr>
        <b/>
        <sz val="12"/>
        <rFont val="Times New Roman"/>
        <family val="1"/>
      </rPr>
      <t>Tile Base</t>
    </r>
    <r>
      <rPr>
        <sz val="12"/>
        <rFont val="Times New Roman"/>
        <family val="1"/>
      </rPr>
      <t xml:space="preserve">
</t>
    </r>
    <r>
      <rPr>
        <b/>
        <sz val="12"/>
        <rFont val="Times New Roman"/>
        <family val="1"/>
      </rPr>
      <t>Manufacturer:</t>
    </r>
    <r>
      <rPr>
        <sz val="12"/>
        <rFont val="Times New Roman"/>
        <family val="1"/>
      </rPr>
      <t xml:space="preserve"> Daltile
</t>
    </r>
    <r>
      <rPr>
        <b/>
        <sz val="12"/>
        <rFont val="Times New Roman"/>
        <family val="1"/>
      </rPr>
      <t xml:space="preserve">Collection: </t>
    </r>
    <r>
      <rPr>
        <sz val="12"/>
        <rFont val="Times New Roman"/>
        <family val="1"/>
      </rPr>
      <t xml:space="preserve">Color Wheel Glazed Ceramic Linear
</t>
    </r>
    <r>
      <rPr>
        <b/>
        <sz val="12"/>
        <rFont val="Times New Roman"/>
        <family val="1"/>
      </rPr>
      <t xml:space="preserve">Size: </t>
    </r>
    <r>
      <rPr>
        <sz val="12"/>
        <rFont val="Times New Roman"/>
        <family val="1"/>
      </rPr>
      <t xml:space="preserve">4x16
</t>
    </r>
    <r>
      <rPr>
        <b/>
        <sz val="12"/>
        <rFont val="Times New Roman"/>
        <family val="1"/>
      </rPr>
      <t xml:space="preserve">Color: </t>
    </r>
    <r>
      <rPr>
        <sz val="12"/>
        <rFont val="Times New Roman"/>
        <family val="1"/>
      </rPr>
      <t xml:space="preserve">Arctic White
</t>
    </r>
    <r>
      <rPr>
        <b/>
        <sz val="12"/>
        <rFont val="Times New Roman"/>
        <family val="1"/>
      </rPr>
      <t xml:space="preserve">Finish: </t>
    </r>
    <r>
      <rPr>
        <sz val="12"/>
        <rFont val="Times New Roman"/>
        <family val="1"/>
      </rPr>
      <t>Semi glass</t>
    </r>
  </si>
  <si>
    <r>
      <rPr>
        <b/>
        <sz val="12"/>
        <rFont val="Times New Roman"/>
        <family val="1"/>
      </rPr>
      <t>Luxury Vinyl Tile</t>
    </r>
    <r>
      <rPr>
        <sz val="12"/>
        <rFont val="Times New Roman"/>
        <family val="1"/>
      </rPr>
      <t xml:space="preserve">
</t>
    </r>
    <r>
      <rPr>
        <b/>
        <sz val="12"/>
        <rFont val="Times New Roman"/>
        <family val="1"/>
      </rPr>
      <t xml:space="preserve">Manufacturer: </t>
    </r>
    <r>
      <rPr>
        <sz val="12"/>
        <rFont val="Times New Roman"/>
        <family val="1"/>
      </rPr>
      <t xml:space="preserve">Shawcontract
</t>
    </r>
    <r>
      <rPr>
        <b/>
        <sz val="12"/>
        <rFont val="Times New Roman"/>
        <family val="1"/>
      </rPr>
      <t xml:space="preserve">Collection: </t>
    </r>
    <r>
      <rPr>
        <sz val="12"/>
        <rFont val="Times New Roman"/>
        <family val="1"/>
      </rPr>
      <t xml:space="preserve">Resilient Commercial
</t>
    </r>
    <r>
      <rPr>
        <b/>
        <sz val="12"/>
        <rFont val="Times New Roman"/>
        <family val="1"/>
      </rPr>
      <t>Size:</t>
    </r>
    <r>
      <rPr>
        <sz val="12"/>
        <rFont val="Times New Roman"/>
        <family val="1"/>
      </rPr>
      <t xml:space="preserve"> 6"x36"
</t>
    </r>
    <r>
      <rPr>
        <b/>
        <sz val="12"/>
        <rFont val="Times New Roman"/>
        <family val="1"/>
      </rPr>
      <t>Color:</t>
    </r>
    <r>
      <rPr>
        <sz val="12"/>
        <rFont val="Times New Roman"/>
        <family val="1"/>
      </rPr>
      <t xml:space="preserve"> Driftwood 02150
</t>
    </r>
    <r>
      <rPr>
        <b/>
        <sz val="12"/>
        <rFont val="Times New Roman"/>
        <family val="1"/>
      </rPr>
      <t xml:space="preserve">Style: </t>
    </r>
    <r>
      <rPr>
        <sz val="12"/>
        <rFont val="Times New Roman"/>
        <family val="1"/>
      </rPr>
      <t>Uncommon Ground 4" 0187V</t>
    </r>
  </si>
  <si>
    <r>
      <rPr>
        <b/>
        <sz val="12"/>
        <rFont val="Times New Roman"/>
        <family val="1"/>
      </rPr>
      <t>Carpet Tile</t>
    </r>
    <r>
      <rPr>
        <sz val="12"/>
        <rFont val="Times New Roman"/>
        <family val="1"/>
      </rPr>
      <t xml:space="preserve">
</t>
    </r>
    <r>
      <rPr>
        <b/>
        <sz val="12"/>
        <rFont val="Times New Roman"/>
        <family val="1"/>
      </rPr>
      <t xml:space="preserve">Manufacturer: </t>
    </r>
    <r>
      <rPr>
        <sz val="12"/>
        <rFont val="Times New Roman"/>
        <family val="1"/>
      </rPr>
      <t xml:space="preserve">Shawcontract
</t>
    </r>
    <r>
      <rPr>
        <b/>
        <sz val="12"/>
        <rFont val="Times New Roman"/>
        <family val="1"/>
      </rPr>
      <t>Collection:</t>
    </r>
    <r>
      <rPr>
        <sz val="12"/>
        <rFont val="Times New Roman"/>
        <family val="1"/>
      </rPr>
      <t xml:space="preserve"> Symmetry
</t>
    </r>
    <r>
      <rPr>
        <b/>
        <sz val="12"/>
        <rFont val="Times New Roman"/>
        <family val="1"/>
      </rPr>
      <t>Size:</t>
    </r>
    <r>
      <rPr>
        <sz val="12"/>
        <rFont val="Times New Roman"/>
        <family val="1"/>
      </rPr>
      <t xml:space="preserve"> 9"x36"
</t>
    </r>
    <r>
      <rPr>
        <b/>
        <sz val="12"/>
        <rFont val="Times New Roman"/>
        <family val="1"/>
      </rPr>
      <t>Color:</t>
    </r>
    <r>
      <rPr>
        <sz val="12"/>
        <rFont val="Times New Roman"/>
        <family val="1"/>
      </rPr>
      <t xml:space="preserve"> Pulse 27560
</t>
    </r>
    <r>
      <rPr>
        <b/>
        <sz val="12"/>
        <rFont val="Times New Roman"/>
        <family val="1"/>
      </rPr>
      <t>Style:</t>
    </r>
    <r>
      <rPr>
        <sz val="12"/>
        <rFont val="Times New Roman"/>
        <family val="1"/>
      </rPr>
      <t xml:space="preserve"> 5T343</t>
    </r>
  </si>
  <si>
    <r>
      <rPr>
        <b/>
        <sz val="12"/>
        <rFont val="Times New Roman"/>
        <family val="1"/>
      </rPr>
      <t>Epoxy Flooring</t>
    </r>
    <r>
      <rPr>
        <sz val="12"/>
        <rFont val="Times New Roman"/>
        <family val="1"/>
      </rPr>
      <t xml:space="preserve">
</t>
    </r>
    <r>
      <rPr>
        <b/>
        <sz val="12"/>
        <rFont val="Times New Roman"/>
        <family val="1"/>
      </rPr>
      <t>Manufacturer:</t>
    </r>
    <r>
      <rPr>
        <sz val="12"/>
        <rFont val="Times New Roman"/>
        <family val="1"/>
      </rPr>
      <t xml:space="preserve"> Armorapoxy
</t>
    </r>
    <r>
      <rPr>
        <b/>
        <sz val="12"/>
        <rFont val="Times New Roman"/>
        <family val="1"/>
      </rPr>
      <t xml:space="preserve">Color: </t>
    </r>
    <r>
      <rPr>
        <sz val="12"/>
        <rFont val="Times New Roman"/>
        <family val="1"/>
      </rPr>
      <t xml:space="preserve">Medium Grey
</t>
    </r>
    <r>
      <rPr>
        <b/>
        <sz val="12"/>
        <rFont val="Times New Roman"/>
        <family val="1"/>
      </rPr>
      <t xml:space="preserve">Product: </t>
    </r>
    <r>
      <rPr>
        <sz val="12"/>
        <rFont val="Times New Roman"/>
        <family val="1"/>
      </rPr>
      <t>Armorclad</t>
    </r>
  </si>
  <si>
    <r>
      <rPr>
        <b/>
        <sz val="12"/>
        <rFont val="Times New Roman"/>
        <family val="1"/>
      </rPr>
      <t>Waterproofing Traffic System</t>
    </r>
    <r>
      <rPr>
        <sz val="12"/>
        <rFont val="Times New Roman"/>
        <family val="1"/>
      </rPr>
      <t xml:space="preserve">
</t>
    </r>
    <r>
      <rPr>
        <b/>
        <sz val="12"/>
        <rFont val="Times New Roman"/>
        <family val="1"/>
      </rPr>
      <t xml:space="preserve">Manufacturer: </t>
    </r>
    <r>
      <rPr>
        <sz val="12"/>
        <rFont val="Times New Roman"/>
        <family val="1"/>
      </rPr>
      <t xml:space="preserve">Sika
</t>
    </r>
    <r>
      <rPr>
        <b/>
        <sz val="12"/>
        <rFont val="Times New Roman"/>
        <family val="1"/>
      </rPr>
      <t xml:space="preserve">Product: </t>
    </r>
    <r>
      <rPr>
        <sz val="12"/>
        <rFont val="Times New Roman"/>
        <family val="1"/>
      </rPr>
      <t>Sikalastic 720 Base</t>
    </r>
  </si>
  <si>
    <r>
      <rPr>
        <b/>
        <sz val="12"/>
        <rFont val="Times New Roman"/>
        <family val="1"/>
      </rPr>
      <t>Base Moulding</t>
    </r>
    <r>
      <rPr>
        <sz val="12"/>
        <rFont val="Times New Roman"/>
        <family val="1"/>
      </rPr>
      <t xml:space="preserve">
</t>
    </r>
    <r>
      <rPr>
        <b/>
        <sz val="12"/>
        <rFont val="Times New Roman"/>
        <family val="1"/>
      </rPr>
      <t xml:space="preserve">Manufacturer: </t>
    </r>
    <r>
      <rPr>
        <sz val="12"/>
        <rFont val="Times New Roman"/>
        <family val="1"/>
      </rPr>
      <t xml:space="preserve">Dykes Lumber
</t>
    </r>
    <r>
      <rPr>
        <b/>
        <sz val="12"/>
        <rFont val="Times New Roman"/>
        <family val="1"/>
      </rPr>
      <t xml:space="preserve">Product #: </t>
    </r>
    <r>
      <rPr>
        <sz val="12"/>
        <rFont val="Times New Roman"/>
        <family val="1"/>
      </rPr>
      <t xml:space="preserve">355 Applique
</t>
    </r>
    <r>
      <rPr>
        <b/>
        <sz val="12"/>
        <rFont val="Times New Roman"/>
        <family val="1"/>
      </rPr>
      <t>Size:</t>
    </r>
    <r>
      <rPr>
        <sz val="12"/>
        <rFont val="Times New Roman"/>
        <family val="1"/>
      </rPr>
      <t xml:space="preserve"> 1x6</t>
    </r>
  </si>
  <si>
    <r>
      <rPr>
        <b/>
        <sz val="12"/>
        <rFont val="Times New Roman"/>
        <family val="1"/>
      </rPr>
      <t>Cement Board Siding as;</t>
    </r>
    <r>
      <rPr>
        <sz val="12"/>
        <rFont val="Times New Roman"/>
        <family val="1"/>
      </rPr>
      <t xml:space="preserve">
Hardie Plank Lap Siding
</t>
    </r>
    <r>
      <rPr>
        <b/>
        <sz val="12"/>
        <rFont val="Times New Roman"/>
        <family val="1"/>
      </rPr>
      <t>Manufacturer:</t>
    </r>
    <r>
      <rPr>
        <sz val="12"/>
        <rFont val="Times New Roman"/>
        <family val="1"/>
      </rPr>
      <t xml:space="preserve"> James Hardie
</t>
    </r>
    <r>
      <rPr>
        <b/>
        <sz val="12"/>
        <rFont val="Times New Roman"/>
        <family val="1"/>
      </rPr>
      <t>Style:</t>
    </r>
    <r>
      <rPr>
        <sz val="12"/>
        <rFont val="Times New Roman"/>
        <family val="1"/>
      </rPr>
      <t xml:space="preserve"> Smooth Line
</t>
    </r>
    <r>
      <rPr>
        <b/>
        <sz val="12"/>
        <rFont val="Times New Roman"/>
        <family val="1"/>
      </rPr>
      <t xml:space="preserve">Color: </t>
    </r>
    <r>
      <rPr>
        <sz val="12"/>
        <rFont val="Times New Roman"/>
        <family val="1"/>
      </rPr>
      <t>Pearl Grey</t>
    </r>
  </si>
  <si>
    <r>
      <rPr>
        <b/>
        <sz val="12"/>
        <rFont val="Times New Roman"/>
        <family val="1"/>
      </rPr>
      <t>Cement Board Siding as;</t>
    </r>
    <r>
      <rPr>
        <sz val="12"/>
        <rFont val="Times New Roman"/>
        <family val="1"/>
      </rPr>
      <t xml:space="preserve">
Hardie Plank Lap Siding
</t>
    </r>
    <r>
      <rPr>
        <b/>
        <sz val="12"/>
        <rFont val="Times New Roman"/>
        <family val="1"/>
      </rPr>
      <t>Manufacturer:</t>
    </r>
    <r>
      <rPr>
        <sz val="12"/>
        <rFont val="Times New Roman"/>
        <family val="1"/>
      </rPr>
      <t xml:space="preserve"> James Hardie
</t>
    </r>
    <r>
      <rPr>
        <b/>
        <sz val="12"/>
        <rFont val="Times New Roman"/>
        <family val="1"/>
      </rPr>
      <t xml:space="preserve">Style: </t>
    </r>
    <r>
      <rPr>
        <sz val="12"/>
        <rFont val="Times New Roman"/>
        <family val="1"/>
      </rPr>
      <t xml:space="preserve">Smooth Line
</t>
    </r>
    <r>
      <rPr>
        <b/>
        <sz val="12"/>
        <rFont val="Times New Roman"/>
        <family val="1"/>
      </rPr>
      <t xml:space="preserve">Color: </t>
    </r>
    <r>
      <rPr>
        <sz val="12"/>
        <rFont val="Times New Roman"/>
        <family val="1"/>
      </rPr>
      <t>Pearl Grey</t>
    </r>
  </si>
  <si>
    <r>
      <rPr>
        <b/>
        <sz val="12"/>
        <rFont val="Times New Roman"/>
        <family val="1"/>
      </rPr>
      <t>Metal Panel;</t>
    </r>
    <r>
      <rPr>
        <sz val="12"/>
        <rFont val="Times New Roman"/>
        <family val="1"/>
      </rPr>
      <t xml:space="preserve">
Metal Panel Accent
</t>
    </r>
    <r>
      <rPr>
        <b/>
        <sz val="12"/>
        <rFont val="Times New Roman"/>
        <family val="1"/>
      </rPr>
      <t xml:space="preserve">Manufacturer: </t>
    </r>
    <r>
      <rPr>
        <sz val="12"/>
        <rFont val="Times New Roman"/>
        <family val="1"/>
      </rPr>
      <t xml:space="preserve">Fairfield Metals
</t>
    </r>
    <r>
      <rPr>
        <b/>
        <sz val="12"/>
        <rFont val="Times New Roman"/>
        <family val="1"/>
      </rPr>
      <t xml:space="preserve">Color: </t>
    </r>
    <r>
      <rPr>
        <sz val="12"/>
        <rFont val="Times New Roman"/>
        <family val="1"/>
      </rPr>
      <t>Black</t>
    </r>
  </si>
  <si>
    <r>
      <rPr>
        <b/>
        <sz val="12"/>
        <rFont val="Times New Roman"/>
        <family val="1"/>
      </rPr>
      <t>Metal Cladding as;</t>
    </r>
    <r>
      <rPr>
        <sz val="12"/>
        <rFont val="Times New Roman"/>
        <family val="1"/>
      </rPr>
      <t xml:space="preserve">
3/8" MAC Steel Siding
</t>
    </r>
    <r>
      <rPr>
        <b/>
        <sz val="12"/>
        <rFont val="Times New Roman"/>
        <family val="1"/>
      </rPr>
      <t xml:space="preserve">Manufacturer: </t>
    </r>
    <r>
      <rPr>
        <sz val="12"/>
        <rFont val="Times New Roman"/>
        <family val="1"/>
      </rPr>
      <t xml:space="preserve">MAC Metal Architecture
</t>
    </r>
    <r>
      <rPr>
        <b/>
        <sz val="12"/>
        <rFont val="Times New Roman"/>
        <family val="1"/>
      </rPr>
      <t>Style:</t>
    </r>
    <r>
      <rPr>
        <sz val="12"/>
        <rFont val="Times New Roman"/>
        <family val="1"/>
      </rPr>
      <t xml:space="preserve"> Harrywood
</t>
    </r>
    <r>
      <rPr>
        <b/>
        <sz val="12"/>
        <rFont val="Times New Roman"/>
        <family val="1"/>
      </rPr>
      <t>Color:</t>
    </r>
    <r>
      <rPr>
        <sz val="12"/>
        <rFont val="Times New Roman"/>
        <family val="1"/>
      </rPr>
      <t xml:space="preserve"> Torrified</t>
    </r>
  </si>
  <si>
    <r>
      <t xml:space="preserve">WP-1 Wall Panel
Manufacturer: </t>
    </r>
    <r>
      <rPr>
        <sz val="12"/>
        <rFont val="Times New Roman"/>
        <family val="1"/>
      </rPr>
      <t>KD Keding</t>
    </r>
    <r>
      <rPr>
        <b/>
        <sz val="12"/>
        <rFont val="Times New Roman"/>
        <family val="1"/>
      </rPr>
      <t xml:space="preserve">
Product: </t>
    </r>
    <r>
      <rPr>
        <sz val="12"/>
        <rFont val="Times New Roman"/>
        <family val="1"/>
      </rPr>
      <t>KD Panels-Boxwood</t>
    </r>
    <r>
      <rPr>
        <b/>
        <sz val="12"/>
        <rFont val="Times New Roman"/>
        <family val="1"/>
      </rPr>
      <t xml:space="preserve">
Design: </t>
    </r>
    <r>
      <rPr>
        <sz val="12"/>
        <rFont val="Times New Roman"/>
        <family val="1"/>
      </rPr>
      <t>Wire Mesh</t>
    </r>
    <r>
      <rPr>
        <b/>
        <sz val="12"/>
        <rFont val="Times New Roman"/>
        <family val="1"/>
      </rPr>
      <t xml:space="preserve">
Color: </t>
    </r>
    <r>
      <rPr>
        <sz val="12"/>
        <rFont val="Times New Roman"/>
        <family val="1"/>
      </rPr>
      <t>K6353AB</t>
    </r>
  </si>
  <si>
    <r>
      <rPr>
        <b/>
        <sz val="12"/>
        <rFont val="Times New Roman"/>
        <family val="1"/>
      </rPr>
      <t>Toilet Paper Holder</t>
    </r>
    <r>
      <rPr>
        <sz val="12"/>
        <rFont val="Times New Roman"/>
        <family val="1"/>
      </rPr>
      <t xml:space="preserve">
</t>
    </r>
    <r>
      <rPr>
        <b/>
        <sz val="12"/>
        <rFont val="Times New Roman"/>
        <family val="1"/>
      </rPr>
      <t>Manufacturer:</t>
    </r>
    <r>
      <rPr>
        <sz val="12"/>
        <rFont val="Times New Roman"/>
        <family val="1"/>
      </rPr>
      <t xml:space="preserve"> DELTA
</t>
    </r>
    <r>
      <rPr>
        <b/>
        <sz val="12"/>
        <rFont val="Times New Roman"/>
        <family val="1"/>
      </rPr>
      <t xml:space="preserve">Model: </t>
    </r>
    <r>
      <rPr>
        <sz val="12"/>
        <rFont val="Times New Roman"/>
        <family val="1"/>
      </rPr>
      <t xml:space="preserve">TRILLIAN 74355
</t>
    </r>
    <r>
      <rPr>
        <b/>
        <sz val="12"/>
        <rFont val="Times New Roman"/>
        <family val="1"/>
      </rPr>
      <t xml:space="preserve">Color: </t>
    </r>
    <r>
      <rPr>
        <sz val="12"/>
        <rFont val="Times New Roman"/>
        <family val="1"/>
      </rPr>
      <t>Chrome</t>
    </r>
  </si>
  <si>
    <r>
      <rPr>
        <b/>
        <sz val="12"/>
        <rFont val="Times New Roman"/>
        <family val="1"/>
      </rPr>
      <t>Mirror Medicine Cabinet</t>
    </r>
    <r>
      <rPr>
        <sz val="12"/>
        <rFont val="Times New Roman"/>
        <family val="1"/>
      </rPr>
      <t xml:space="preserve">
</t>
    </r>
    <r>
      <rPr>
        <b/>
        <sz val="12"/>
        <rFont val="Times New Roman"/>
        <family val="1"/>
      </rPr>
      <t>Manufacturer:</t>
    </r>
    <r>
      <rPr>
        <sz val="12"/>
        <rFont val="Times New Roman"/>
        <family val="1"/>
      </rPr>
      <t xml:space="preserve"> KOHLER
</t>
    </r>
    <r>
      <rPr>
        <b/>
        <sz val="12"/>
        <rFont val="Times New Roman"/>
        <family val="1"/>
      </rPr>
      <t xml:space="preserve">Model: </t>
    </r>
    <r>
      <rPr>
        <sz val="12"/>
        <rFont val="Times New Roman"/>
        <family val="1"/>
      </rPr>
      <t xml:space="preserve">K-11808
</t>
    </r>
    <r>
      <rPr>
        <b/>
        <sz val="12"/>
        <rFont val="Times New Roman"/>
        <family val="1"/>
      </rPr>
      <t xml:space="preserve">Color: </t>
    </r>
    <r>
      <rPr>
        <sz val="12"/>
        <rFont val="Times New Roman"/>
        <family val="1"/>
      </rPr>
      <t>CA1
Size: 26" H x 15" W</t>
    </r>
  </si>
  <si>
    <r>
      <rPr>
        <b/>
        <sz val="12"/>
        <rFont val="Times New Roman"/>
        <family val="1"/>
      </rPr>
      <t>Robe Hook</t>
    </r>
    <r>
      <rPr>
        <sz val="12"/>
        <rFont val="Times New Roman"/>
        <family val="1"/>
      </rPr>
      <t xml:space="preserve">
</t>
    </r>
    <r>
      <rPr>
        <b/>
        <sz val="12"/>
        <rFont val="Times New Roman"/>
        <family val="1"/>
      </rPr>
      <t>Manufacturer:</t>
    </r>
    <r>
      <rPr>
        <sz val="12"/>
        <rFont val="Times New Roman"/>
        <family val="1"/>
      </rPr>
      <t xml:space="preserve"> DELTA
</t>
    </r>
    <r>
      <rPr>
        <b/>
        <sz val="12"/>
        <rFont val="Times New Roman"/>
        <family val="1"/>
      </rPr>
      <t xml:space="preserve">Model: </t>
    </r>
    <r>
      <rPr>
        <sz val="12"/>
        <rFont val="Times New Roman"/>
        <family val="1"/>
      </rPr>
      <t xml:space="preserve">TRINSIC 75935
</t>
    </r>
    <r>
      <rPr>
        <b/>
        <sz val="12"/>
        <rFont val="Times New Roman"/>
        <family val="1"/>
      </rPr>
      <t xml:space="preserve">Color: </t>
    </r>
    <r>
      <rPr>
        <sz val="12"/>
        <rFont val="Times New Roman"/>
        <family val="1"/>
      </rPr>
      <t>Chrome</t>
    </r>
  </si>
  <si>
    <r>
      <rPr>
        <b/>
        <sz val="12"/>
        <rFont val="Times New Roman"/>
        <family val="1"/>
      </rPr>
      <t>18" Towel Bar</t>
    </r>
    <r>
      <rPr>
        <sz val="12"/>
        <rFont val="Times New Roman"/>
        <family val="1"/>
      </rPr>
      <t xml:space="preserve">
</t>
    </r>
    <r>
      <rPr>
        <b/>
        <sz val="12"/>
        <rFont val="Times New Roman"/>
        <family val="1"/>
      </rPr>
      <t>Manufacturer:</t>
    </r>
    <r>
      <rPr>
        <sz val="12"/>
        <rFont val="Times New Roman"/>
        <family val="1"/>
      </rPr>
      <t xml:space="preserve"> DELTA
</t>
    </r>
    <r>
      <rPr>
        <b/>
        <sz val="12"/>
        <rFont val="Times New Roman"/>
        <family val="1"/>
      </rPr>
      <t xml:space="preserve">Model: </t>
    </r>
    <r>
      <rPr>
        <sz val="12"/>
        <rFont val="Times New Roman"/>
        <family val="1"/>
      </rPr>
      <t xml:space="preserve">TRINSIC
</t>
    </r>
    <r>
      <rPr>
        <b/>
        <sz val="12"/>
        <rFont val="Times New Roman"/>
        <family val="1"/>
      </rPr>
      <t xml:space="preserve">Color: </t>
    </r>
    <r>
      <rPr>
        <sz val="12"/>
        <rFont val="Times New Roman"/>
        <family val="1"/>
      </rPr>
      <t>Chrome</t>
    </r>
  </si>
  <si>
    <r>
      <rPr>
        <b/>
        <sz val="12"/>
        <rFont val="Times New Roman"/>
        <family val="1"/>
      </rPr>
      <t>Shower Rod</t>
    </r>
    <r>
      <rPr>
        <sz val="12"/>
        <rFont val="Times New Roman"/>
        <family val="1"/>
      </rPr>
      <t xml:space="preserve">
</t>
    </r>
    <r>
      <rPr>
        <b/>
        <sz val="12"/>
        <rFont val="Times New Roman"/>
        <family val="1"/>
      </rPr>
      <t>Manufacturer:</t>
    </r>
    <r>
      <rPr>
        <sz val="12"/>
        <rFont val="Times New Roman"/>
        <family val="1"/>
      </rPr>
      <t xml:space="preserve"> KOHLER
</t>
    </r>
    <r>
      <rPr>
        <b/>
        <sz val="12"/>
        <rFont val="Times New Roman"/>
        <family val="1"/>
      </rPr>
      <t xml:space="preserve">Model: </t>
    </r>
    <r>
      <rPr>
        <sz val="12"/>
        <rFont val="Times New Roman"/>
        <family val="1"/>
      </rPr>
      <t xml:space="preserve">Expanse K-9349-S
</t>
    </r>
    <r>
      <rPr>
        <b/>
        <sz val="12"/>
        <rFont val="Times New Roman"/>
        <family val="1"/>
      </rPr>
      <t xml:space="preserve">Color: </t>
    </r>
    <r>
      <rPr>
        <sz val="12"/>
        <rFont val="Times New Roman"/>
        <family val="1"/>
      </rPr>
      <t>Polished SS</t>
    </r>
  </si>
  <si>
    <r>
      <rPr>
        <b/>
        <sz val="12"/>
        <rFont val="Times New Roman"/>
        <family val="1"/>
      </rPr>
      <t>Shower Door</t>
    </r>
    <r>
      <rPr>
        <sz val="12"/>
        <rFont val="Times New Roman"/>
        <family val="1"/>
      </rPr>
      <t xml:space="preserve">
</t>
    </r>
    <r>
      <rPr>
        <b/>
        <sz val="12"/>
        <rFont val="Times New Roman"/>
        <family val="1"/>
      </rPr>
      <t>Manufacturer:</t>
    </r>
    <r>
      <rPr>
        <sz val="12"/>
        <rFont val="Times New Roman"/>
        <family val="1"/>
      </rPr>
      <t xml:space="preserve"> KOHLER
</t>
    </r>
    <r>
      <rPr>
        <b/>
        <sz val="12"/>
        <rFont val="Times New Roman"/>
        <family val="1"/>
      </rPr>
      <t xml:space="preserve">Model: </t>
    </r>
    <r>
      <rPr>
        <sz val="12"/>
        <rFont val="Times New Roman"/>
        <family val="1"/>
      </rPr>
      <t xml:space="preserve">LEVITY K-706012-L
</t>
    </r>
    <r>
      <rPr>
        <b/>
        <sz val="12"/>
        <rFont val="Times New Roman"/>
        <family val="1"/>
      </rPr>
      <t xml:space="preserve">Color: </t>
    </r>
    <r>
      <rPr>
        <sz val="12"/>
        <rFont val="Times New Roman"/>
        <family val="1"/>
      </rPr>
      <t>Polished SS</t>
    </r>
  </si>
  <si>
    <r>
      <t>Mailboxes
Size:</t>
    </r>
    <r>
      <rPr>
        <sz val="12"/>
        <rFont val="Times New Roman"/>
        <family val="1"/>
      </rPr>
      <t xml:space="preserve"> 1'-5"W x 3'-1"H</t>
    </r>
    <r>
      <rPr>
        <b/>
        <sz val="12"/>
        <rFont val="Times New Roman"/>
        <family val="1"/>
      </rPr>
      <t xml:space="preserve">
Model #: </t>
    </r>
    <r>
      <rPr>
        <sz val="12"/>
        <rFont val="Times New Roman"/>
        <family val="1"/>
      </rPr>
      <t>4C10S-08</t>
    </r>
  </si>
  <si>
    <r>
      <t>Signage Type - A
Size:</t>
    </r>
    <r>
      <rPr>
        <sz val="12"/>
        <rFont val="Times New Roman"/>
        <family val="1"/>
      </rPr>
      <t xml:space="preserve"> 1'-0"W x 1'-6"H</t>
    </r>
    <r>
      <rPr>
        <b/>
        <sz val="12"/>
        <rFont val="Times New Roman"/>
        <family val="1"/>
      </rPr>
      <t xml:space="preserve">
Lettering:</t>
    </r>
    <r>
      <rPr>
        <sz val="12"/>
        <rFont val="Times New Roman"/>
        <family val="1"/>
      </rPr>
      <t xml:space="preserve"> Stair A, Floor Name</t>
    </r>
  </si>
  <si>
    <r>
      <t>Signage Type - B
Size:</t>
    </r>
    <r>
      <rPr>
        <sz val="12"/>
        <rFont val="Times New Roman"/>
        <family val="1"/>
      </rPr>
      <t xml:space="preserve"> 6"W x 6"H</t>
    </r>
    <r>
      <rPr>
        <b/>
        <sz val="12"/>
        <rFont val="Times New Roman"/>
        <family val="1"/>
      </rPr>
      <t xml:space="preserve">
Lettering:</t>
    </r>
    <r>
      <rPr>
        <sz val="12"/>
        <rFont val="Times New Roman"/>
        <family val="1"/>
      </rPr>
      <t xml:space="preserve"> Electrical Room</t>
    </r>
  </si>
  <si>
    <r>
      <t>Signage Type - C
Size:</t>
    </r>
    <r>
      <rPr>
        <sz val="12"/>
        <rFont val="Times New Roman"/>
        <family val="1"/>
      </rPr>
      <t xml:space="preserve"> 6"W x 6"H</t>
    </r>
    <r>
      <rPr>
        <b/>
        <sz val="12"/>
        <rFont val="Times New Roman"/>
        <family val="1"/>
      </rPr>
      <t xml:space="preserve">
Lettering:</t>
    </r>
    <r>
      <rPr>
        <sz val="12"/>
        <rFont val="Times New Roman"/>
        <family val="1"/>
      </rPr>
      <t xml:space="preserve"> In Case of Fire Do Not Use Elevators Use Stairs</t>
    </r>
  </si>
  <si>
    <r>
      <t>Signage Type - D
Size:</t>
    </r>
    <r>
      <rPr>
        <sz val="12"/>
        <rFont val="Times New Roman"/>
        <family val="1"/>
      </rPr>
      <t xml:space="preserve"> 9-1/2"W x 9"H</t>
    </r>
    <r>
      <rPr>
        <b/>
        <sz val="12"/>
        <rFont val="Times New Roman"/>
        <family val="1"/>
      </rPr>
      <t xml:space="preserve">
Lettering:</t>
    </r>
    <r>
      <rPr>
        <sz val="12"/>
        <rFont val="Times New Roman"/>
        <family val="1"/>
      </rPr>
      <t xml:space="preserve"> Fire Extinguisher</t>
    </r>
  </si>
  <si>
    <r>
      <t>Signage Type - E
Size:</t>
    </r>
    <r>
      <rPr>
        <sz val="12"/>
        <rFont val="Times New Roman"/>
        <family val="1"/>
      </rPr>
      <t xml:space="preserve"> 6"W x 4"H</t>
    </r>
    <r>
      <rPr>
        <b/>
        <sz val="12"/>
        <rFont val="Times New Roman"/>
        <family val="1"/>
      </rPr>
      <t xml:space="preserve">
Lettering:</t>
    </r>
    <r>
      <rPr>
        <sz val="12"/>
        <rFont val="Times New Roman"/>
        <family val="1"/>
      </rPr>
      <t xml:space="preserve"> Waste/Recycling</t>
    </r>
  </si>
  <si>
    <r>
      <t xml:space="preserve">Exterior Signage 3'-0"W x 1'-8"H
</t>
    </r>
    <r>
      <rPr>
        <b/>
        <sz val="12"/>
        <rFont val="Times New Roman"/>
        <family val="1"/>
      </rPr>
      <t>Lettering:</t>
    </r>
    <r>
      <rPr>
        <sz val="12"/>
        <rFont val="Times New Roman"/>
        <family val="1"/>
      </rPr>
      <t xml:space="preserve"> 185 SYLVAN AVE.</t>
    </r>
  </si>
  <si>
    <r>
      <rPr>
        <b/>
        <sz val="12"/>
        <rFont val="Times New Roman"/>
        <family val="1"/>
      </rPr>
      <t>EQ-1 
Description:</t>
    </r>
    <r>
      <rPr>
        <sz val="12"/>
        <rFont val="Times New Roman"/>
        <family val="1"/>
      </rPr>
      <t xml:space="preserve"> Freestanding  Electric Radiant Smooth Cooktop Range
</t>
    </r>
    <r>
      <rPr>
        <b/>
        <sz val="12"/>
        <rFont val="Times New Roman"/>
        <family val="1"/>
      </rPr>
      <t xml:space="preserve">Manufacturer: </t>
    </r>
    <r>
      <rPr>
        <sz val="12"/>
        <rFont val="Times New Roman"/>
        <family val="1"/>
      </rPr>
      <t xml:space="preserve">GE
</t>
    </r>
    <r>
      <rPr>
        <b/>
        <sz val="12"/>
        <rFont val="Times New Roman"/>
        <family val="1"/>
      </rPr>
      <t xml:space="preserve">Model: </t>
    </r>
    <r>
      <rPr>
        <sz val="12"/>
        <rFont val="Times New Roman"/>
        <family val="1"/>
      </rPr>
      <t xml:space="preserve">JB655YKFS
</t>
    </r>
    <r>
      <rPr>
        <b/>
        <sz val="12"/>
        <rFont val="Times New Roman"/>
        <family val="1"/>
      </rPr>
      <t>Color:</t>
    </r>
    <r>
      <rPr>
        <sz val="12"/>
        <rFont val="Times New Roman"/>
        <family val="1"/>
      </rPr>
      <t xml:space="preserve"> Stainless Steel</t>
    </r>
  </si>
  <si>
    <r>
      <rPr>
        <b/>
        <sz val="12"/>
        <rFont val="Times New Roman"/>
        <family val="1"/>
      </rPr>
      <t>EQ-3
Description:</t>
    </r>
    <r>
      <rPr>
        <sz val="12"/>
        <rFont val="Times New Roman"/>
        <family val="1"/>
      </rPr>
      <t xml:space="preserve"> Dishwasher W/ Front Controls
</t>
    </r>
    <r>
      <rPr>
        <b/>
        <sz val="12"/>
        <rFont val="Times New Roman"/>
        <family val="1"/>
      </rPr>
      <t xml:space="preserve">Manufacturer: </t>
    </r>
    <r>
      <rPr>
        <sz val="12"/>
        <rFont val="Times New Roman"/>
        <family val="1"/>
      </rPr>
      <t xml:space="preserve">GE
</t>
    </r>
    <r>
      <rPr>
        <b/>
        <sz val="12"/>
        <rFont val="Times New Roman"/>
        <family val="1"/>
      </rPr>
      <t xml:space="preserve">Model: </t>
    </r>
    <r>
      <rPr>
        <sz val="12"/>
        <rFont val="Times New Roman"/>
        <family val="1"/>
      </rPr>
      <t xml:space="preserve">GDF530PSPSS
</t>
    </r>
    <r>
      <rPr>
        <b/>
        <sz val="12"/>
        <rFont val="Times New Roman"/>
        <family val="1"/>
      </rPr>
      <t>Color:</t>
    </r>
    <r>
      <rPr>
        <sz val="12"/>
        <rFont val="Times New Roman"/>
        <family val="1"/>
      </rPr>
      <t xml:space="preserve"> Stainless Steel</t>
    </r>
  </si>
  <si>
    <r>
      <rPr>
        <b/>
        <sz val="12"/>
        <rFont val="Times New Roman"/>
        <family val="1"/>
      </rPr>
      <t>EQ-4
Description:</t>
    </r>
    <r>
      <rPr>
        <sz val="12"/>
        <rFont val="Times New Roman"/>
        <family val="1"/>
      </rPr>
      <t xml:space="preserve"> 1.9 Ft3 Over Range Sensor Microwave With Recirculating 
Vent
</t>
    </r>
    <r>
      <rPr>
        <b/>
        <sz val="12"/>
        <rFont val="Times New Roman"/>
        <family val="1"/>
      </rPr>
      <t xml:space="preserve">Manufacturer: </t>
    </r>
    <r>
      <rPr>
        <sz val="12"/>
        <rFont val="Times New Roman"/>
        <family val="1"/>
      </rPr>
      <t xml:space="preserve">GE
</t>
    </r>
    <r>
      <rPr>
        <b/>
        <sz val="12"/>
        <rFont val="Times New Roman"/>
        <family val="1"/>
      </rPr>
      <t xml:space="preserve">Model: </t>
    </r>
    <r>
      <rPr>
        <sz val="12"/>
        <rFont val="Times New Roman"/>
        <family val="1"/>
      </rPr>
      <t xml:space="preserve">JNM7196SK/BL/FL
</t>
    </r>
    <r>
      <rPr>
        <b/>
        <sz val="12"/>
        <rFont val="Times New Roman"/>
        <family val="1"/>
      </rPr>
      <t>Color:</t>
    </r>
    <r>
      <rPr>
        <sz val="12"/>
        <rFont val="Times New Roman"/>
        <family val="1"/>
      </rPr>
      <t xml:space="preserve"> Stainless Steel</t>
    </r>
  </si>
  <si>
    <r>
      <rPr>
        <b/>
        <sz val="12"/>
        <rFont val="Times New Roman"/>
        <family val="1"/>
      </rPr>
      <t>EQ-5
Description:</t>
    </r>
    <r>
      <rPr>
        <sz val="12"/>
        <rFont val="Times New Roman"/>
        <family val="1"/>
      </rPr>
      <t xml:space="preserve"> 16.6 Ft3 Top-Freezer Refrigerator
</t>
    </r>
    <r>
      <rPr>
        <b/>
        <sz val="12"/>
        <rFont val="Times New Roman"/>
        <family val="1"/>
      </rPr>
      <t xml:space="preserve">Manufacturer: </t>
    </r>
    <r>
      <rPr>
        <sz val="12"/>
        <rFont val="Times New Roman"/>
        <family val="1"/>
      </rPr>
      <t xml:space="preserve">GE
</t>
    </r>
    <r>
      <rPr>
        <b/>
        <sz val="12"/>
        <rFont val="Times New Roman"/>
        <family val="1"/>
      </rPr>
      <t xml:space="preserve">Model: </t>
    </r>
    <r>
      <rPr>
        <sz val="12"/>
        <rFont val="Times New Roman"/>
        <family val="1"/>
      </rPr>
      <t xml:space="preserve">GTS17GTN/GSN
</t>
    </r>
    <r>
      <rPr>
        <b/>
        <sz val="12"/>
        <rFont val="Times New Roman"/>
        <family val="1"/>
      </rPr>
      <t>Color:</t>
    </r>
    <r>
      <rPr>
        <sz val="12"/>
        <rFont val="Times New Roman"/>
        <family val="1"/>
      </rPr>
      <t xml:space="preserve"> Stainless Steel</t>
    </r>
  </si>
  <si>
    <r>
      <rPr>
        <b/>
        <sz val="12"/>
        <rFont val="Times New Roman"/>
        <family val="1"/>
      </rPr>
      <t>EQ-6
Description:</t>
    </r>
    <r>
      <rPr>
        <sz val="12"/>
        <rFont val="Times New Roman"/>
        <family val="1"/>
      </rPr>
      <t xml:space="preserve"> 4.8 Ft3 Front Load Washer W/ Ultra Fresh Vent System With 
Oderblock
</t>
    </r>
    <r>
      <rPr>
        <b/>
        <sz val="12"/>
        <rFont val="Times New Roman"/>
        <family val="1"/>
      </rPr>
      <t xml:space="preserve">Manufacturer: </t>
    </r>
    <r>
      <rPr>
        <sz val="12"/>
        <rFont val="Times New Roman"/>
        <family val="1"/>
      </rPr>
      <t xml:space="preserve">GE
</t>
    </r>
    <r>
      <rPr>
        <b/>
        <sz val="12"/>
        <rFont val="Times New Roman"/>
        <family val="1"/>
      </rPr>
      <t xml:space="preserve">Model: </t>
    </r>
    <r>
      <rPr>
        <sz val="12"/>
        <rFont val="Times New Roman"/>
        <family val="1"/>
      </rPr>
      <t xml:space="preserve">GFW550SSN/SPN
</t>
    </r>
    <r>
      <rPr>
        <b/>
        <sz val="12"/>
        <rFont val="Times New Roman"/>
        <family val="1"/>
      </rPr>
      <t>Color:</t>
    </r>
    <r>
      <rPr>
        <sz val="12"/>
        <rFont val="Times New Roman"/>
        <family val="1"/>
      </rPr>
      <t xml:space="preserve"> White</t>
    </r>
  </si>
  <si>
    <r>
      <rPr>
        <b/>
        <sz val="12"/>
        <rFont val="Times New Roman"/>
        <family val="1"/>
      </rPr>
      <t>EQ-7
Description:</t>
    </r>
    <r>
      <rPr>
        <sz val="12"/>
        <rFont val="Times New Roman"/>
        <family val="1"/>
      </rPr>
      <t xml:space="preserve"> 7.8 Ft3 Front Load Electric Dryer
</t>
    </r>
    <r>
      <rPr>
        <b/>
        <sz val="12"/>
        <rFont val="Times New Roman"/>
        <family val="1"/>
      </rPr>
      <t xml:space="preserve">Manufacturer: </t>
    </r>
    <r>
      <rPr>
        <sz val="12"/>
        <rFont val="Times New Roman"/>
        <family val="1"/>
      </rPr>
      <t xml:space="preserve">GE
</t>
    </r>
    <r>
      <rPr>
        <b/>
        <sz val="12"/>
        <rFont val="Times New Roman"/>
        <family val="1"/>
      </rPr>
      <t xml:space="preserve">Model: </t>
    </r>
    <r>
      <rPr>
        <sz val="12"/>
        <rFont val="Times New Roman"/>
        <family val="1"/>
      </rPr>
      <t xml:space="preserve">GFD55ESSN/ESPN
</t>
    </r>
    <r>
      <rPr>
        <b/>
        <sz val="12"/>
        <rFont val="Times New Roman"/>
        <family val="1"/>
      </rPr>
      <t>Color:</t>
    </r>
    <r>
      <rPr>
        <sz val="12"/>
        <rFont val="Times New Roman"/>
        <family val="1"/>
      </rPr>
      <t xml:space="preserve"> White</t>
    </r>
  </si>
  <si>
    <r>
      <rPr>
        <b/>
        <sz val="12"/>
        <rFont val="Times New Roman"/>
        <family val="1"/>
      </rPr>
      <t>Elevator#1</t>
    </r>
    <r>
      <rPr>
        <sz val="12"/>
        <rFont val="Times New Roman"/>
        <family val="1"/>
      </rPr>
      <t xml:space="preserve">
</t>
    </r>
    <r>
      <rPr>
        <b/>
        <sz val="12"/>
        <rFont val="Times New Roman"/>
        <family val="1"/>
      </rPr>
      <t xml:space="preserve">Machine Room Type: </t>
    </r>
    <r>
      <rPr>
        <sz val="12"/>
        <rFont val="Times New Roman"/>
        <family val="1"/>
      </rPr>
      <t xml:space="preserve">Top Landing Built-In Stud 
</t>
    </r>
    <r>
      <rPr>
        <b/>
        <sz val="12"/>
        <rFont val="Times New Roman"/>
        <family val="1"/>
      </rPr>
      <t xml:space="preserve">Service: </t>
    </r>
    <r>
      <rPr>
        <sz val="12"/>
        <rFont val="Times New Roman"/>
        <family val="1"/>
      </rPr>
      <t xml:space="preserve">General Purpose Passenger
</t>
    </r>
    <r>
      <rPr>
        <b/>
        <sz val="12"/>
        <rFont val="Times New Roman"/>
        <family val="1"/>
      </rPr>
      <t xml:space="preserve">Seismic Zone: </t>
    </r>
    <r>
      <rPr>
        <sz val="12"/>
        <rFont val="Times New Roman"/>
        <family val="1"/>
      </rPr>
      <t xml:space="preserve">Non-Seismic
</t>
    </r>
    <r>
      <rPr>
        <b/>
        <sz val="12"/>
        <rFont val="Times New Roman"/>
        <family val="1"/>
      </rPr>
      <t xml:space="preserve">Quantity Of Units: </t>
    </r>
    <r>
      <rPr>
        <sz val="12"/>
        <rFont val="Times New Roman"/>
        <family val="1"/>
      </rPr>
      <t>1</t>
    </r>
    <r>
      <rPr>
        <b/>
        <sz val="12"/>
        <rFont val="Times New Roman"/>
        <family val="1"/>
      </rPr>
      <t xml:space="preserve">
Capacity: </t>
    </r>
    <r>
      <rPr>
        <sz val="12"/>
        <rFont val="Times New Roman"/>
        <family val="1"/>
      </rPr>
      <t xml:space="preserve">2500 Lbs
</t>
    </r>
    <r>
      <rPr>
        <b/>
        <sz val="12"/>
        <rFont val="Times New Roman"/>
        <family val="1"/>
      </rPr>
      <t>Speed:</t>
    </r>
    <r>
      <rPr>
        <sz val="12"/>
        <rFont val="Times New Roman"/>
        <family val="1"/>
      </rPr>
      <t xml:space="preserve"> 150 Fpm
</t>
    </r>
    <r>
      <rPr>
        <b/>
        <sz val="12"/>
        <rFont val="Times New Roman"/>
        <family val="1"/>
      </rPr>
      <t>Travel Distance:</t>
    </r>
    <r>
      <rPr>
        <sz val="12"/>
        <rFont val="Times New Roman"/>
        <family val="1"/>
      </rPr>
      <t xml:space="preserve"> 24'-0"
</t>
    </r>
    <r>
      <rPr>
        <b/>
        <sz val="12"/>
        <rFont val="Times New Roman"/>
        <family val="1"/>
      </rPr>
      <t xml:space="preserve">Landings: </t>
    </r>
    <r>
      <rPr>
        <sz val="12"/>
        <rFont val="Times New Roman"/>
        <family val="1"/>
      </rPr>
      <t xml:space="preserve">3
</t>
    </r>
    <r>
      <rPr>
        <b/>
        <sz val="12"/>
        <rFont val="Times New Roman"/>
        <family val="1"/>
      </rPr>
      <t xml:space="preserve">Front Openings: </t>
    </r>
    <r>
      <rPr>
        <sz val="12"/>
        <rFont val="Times New Roman"/>
        <family val="1"/>
      </rPr>
      <t xml:space="preserve">3
</t>
    </r>
    <r>
      <rPr>
        <b/>
        <sz val="12"/>
        <rFont val="Times New Roman"/>
        <family val="1"/>
      </rPr>
      <t xml:space="preserve">Rear Openings: </t>
    </r>
    <r>
      <rPr>
        <sz val="12"/>
        <rFont val="Times New Roman"/>
        <family val="1"/>
      </rPr>
      <t xml:space="preserve">0
</t>
    </r>
    <r>
      <rPr>
        <b/>
        <sz val="12"/>
        <rFont val="Times New Roman"/>
        <family val="1"/>
      </rPr>
      <t xml:space="preserve">Platform Size: </t>
    </r>
    <r>
      <rPr>
        <sz val="12"/>
        <rFont val="Times New Roman"/>
        <family val="1"/>
      </rPr>
      <t xml:space="preserve">Per Manuf.
</t>
    </r>
    <r>
      <rPr>
        <b/>
        <sz val="12"/>
        <rFont val="Times New Roman"/>
        <family val="1"/>
      </rPr>
      <t>Door Type:</t>
    </r>
    <r>
      <rPr>
        <sz val="12"/>
        <rFont val="Times New Roman"/>
        <family val="1"/>
      </rPr>
      <t xml:space="preserve"> Left Opening
</t>
    </r>
    <r>
      <rPr>
        <b/>
        <sz val="12"/>
        <rFont val="Times New Roman"/>
        <family val="1"/>
      </rPr>
      <t>Cab Height:</t>
    </r>
    <r>
      <rPr>
        <sz val="12"/>
        <rFont val="Times New Roman"/>
        <family val="1"/>
      </rPr>
      <t xml:space="preserve"> 7'-9"
</t>
    </r>
    <r>
      <rPr>
        <b/>
        <sz val="12"/>
        <rFont val="Times New Roman"/>
        <family val="1"/>
      </rPr>
      <t>Hoistway Entrances:</t>
    </r>
    <r>
      <rPr>
        <sz val="12"/>
        <rFont val="Times New Roman"/>
        <family val="1"/>
      </rPr>
      <t xml:space="preserve"> 3'-6" Wide Clear X 7'-0" High
</t>
    </r>
    <r>
      <rPr>
        <b/>
        <sz val="12"/>
        <rFont val="Times New Roman"/>
        <family val="1"/>
      </rPr>
      <t>Building Classification:</t>
    </r>
    <r>
      <rPr>
        <sz val="12"/>
        <rFont val="Times New Roman"/>
        <family val="1"/>
      </rPr>
      <t xml:space="preserve"> R-2
</t>
    </r>
    <r>
      <rPr>
        <b/>
        <sz val="12"/>
        <rFont val="Times New Roman"/>
        <family val="1"/>
      </rPr>
      <t xml:space="preserve">Building Code: </t>
    </r>
    <r>
      <rPr>
        <sz val="12"/>
        <rFont val="Times New Roman"/>
        <family val="1"/>
      </rPr>
      <t xml:space="preserve">Nj Ibc 2018
</t>
    </r>
    <r>
      <rPr>
        <b/>
        <sz val="12"/>
        <rFont val="Times New Roman"/>
        <family val="1"/>
      </rPr>
      <t>Flood Zone:</t>
    </r>
    <r>
      <rPr>
        <sz val="12"/>
        <rFont val="Times New Roman"/>
        <family val="1"/>
      </rPr>
      <t xml:space="preserve"> Non-Flood Zone</t>
    </r>
  </si>
  <si>
    <r>
      <t xml:space="preserve">Trash Bins
Size: </t>
    </r>
    <r>
      <rPr>
        <sz val="12"/>
        <rFont val="Times New Roman"/>
        <family val="1"/>
      </rPr>
      <t>3'-6" x 3'-6"</t>
    </r>
  </si>
  <si>
    <t>Contact: (305)-813-0053</t>
  </si>
  <si>
    <t>REMARKS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</si>
</sst>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"/>
    <numFmt numFmtId="165" formatCode="_(&quot;$&quot;* #,##0_);_(&quot;$&quot;* \(#,##0\);_(&quot;$&quot;* &quot;-&quot;??_);_(@_)"/>
    <numFmt numFmtId="166" formatCode="_(&quot;$&quot;* #,##0_);_(&quot;$&quot;* \(#,##0\);_(&quot;$&quot;* &quot;-&quot;?_);_(@_)"/>
    <numFmt numFmtId="167" formatCode="_(&quot;$&quot;* #,##0.00_);_(&quot;$&quot;* \(#,##0.00\);_(&quot;$&quot;* &quot;-&quot;?_);_(@_)"/>
    <numFmt numFmtId="168" formatCode="_(* #,##0_);_(* \(#,##0\);_(* &quot;-&quot;??_);_(@_)"/>
    <numFmt numFmtId="170" formatCode="0\ &quot;CY&quot;"/>
    <numFmt numFmtId="173" formatCode="0.0"/>
    <numFmt numFmtId="174" formatCode="0.000"/>
    <numFmt numFmtId="175" formatCode="_(* #,##0.00_);_(* \(#,##0.00\);_(* &quot;-&quot;_);_(@_)"/>
  </numFmts>
  <fonts count="49" x14ac:knownFonts="1">
    <font>
      <sz val="12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Arial"/>
      <family val="2"/>
    </font>
    <font>
      <sz val="10"/>
      <name val="Arial"/>
      <family val="2"/>
    </font>
    <font>
      <sz val="12"/>
      <name val="Calibri"/>
      <family val="2"/>
      <scheme val="minor"/>
    </font>
    <font>
      <u/>
      <sz val="12"/>
      <color theme="10"/>
      <name val="Arial"/>
      <family val="2"/>
    </font>
    <font>
      <sz val="12"/>
      <color theme="1"/>
      <name val="Calibri"/>
      <family val="2"/>
      <scheme val="minor"/>
    </font>
    <font>
      <sz val="12"/>
      <name val="Arial"/>
      <family val="2"/>
    </font>
    <font>
      <b/>
      <sz val="12"/>
      <color theme="0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u/>
      <sz val="14"/>
      <color theme="0"/>
      <name val="Calibri"/>
      <family val="2"/>
      <scheme val="minor"/>
    </font>
    <font>
      <sz val="12"/>
      <color theme="0"/>
      <name val="Times New Roman"/>
      <family val="1"/>
    </font>
    <font>
      <b/>
      <sz val="12"/>
      <color theme="1"/>
      <name val="Times New Roman"/>
      <family val="1"/>
    </font>
    <font>
      <i/>
      <sz val="12"/>
      <name val="Calibri"/>
      <family val="2"/>
      <scheme val="minor"/>
    </font>
    <font>
      <b/>
      <sz val="12"/>
      <color rgb="FFFF0000"/>
      <name val="Times New Roman"/>
      <family val="1"/>
    </font>
    <font>
      <b/>
      <i/>
      <sz val="12"/>
      <color rgb="FF002060"/>
      <name val="Times New Roman"/>
      <family val="1"/>
    </font>
    <font>
      <sz val="12"/>
      <color theme="1"/>
      <name val="Times New Roman"/>
      <family val="1"/>
    </font>
    <font>
      <b/>
      <i/>
      <sz val="12"/>
      <name val="Times New Roman"/>
      <family val="1"/>
    </font>
    <font>
      <i/>
      <sz val="12"/>
      <name val="Times New Roman"/>
      <family val="1"/>
    </font>
    <font>
      <b/>
      <i/>
      <sz val="12"/>
      <color rgb="FFFF0000"/>
      <name val="Times New Roman"/>
      <family val="1"/>
    </font>
    <font>
      <u/>
      <sz val="12"/>
      <color theme="0"/>
      <name val="Times New Roman"/>
      <family val="1"/>
    </font>
    <font>
      <b/>
      <u/>
      <sz val="12"/>
      <name val="Times New Roman"/>
      <family val="1"/>
    </font>
    <font>
      <sz val="12"/>
      <color rgb="FF00B0F0"/>
      <name val="Times New Roman"/>
      <family val="1"/>
    </font>
    <font>
      <b/>
      <u/>
      <sz val="12"/>
      <color theme="10"/>
      <name val="Times New Roman"/>
      <family val="1"/>
    </font>
  </fonts>
  <fills count="3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rgb="FFFED2D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59999389629810485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71">
    <xf numFmtId="0" fontId="0" fillId="0" borderId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1" fillId="3" borderId="0" applyNumberFormat="0" applyBorder="0" applyAlignment="0" applyProtection="0"/>
    <xf numFmtId="0" fontId="12" fillId="20" borderId="1" applyNumberFormat="0" applyAlignment="0" applyProtection="0"/>
    <xf numFmtId="0" fontId="13" fillId="21" borderId="2" applyNumberFormat="0" applyAlignment="0" applyProtection="0"/>
    <xf numFmtId="0" fontId="14" fillId="0" borderId="0" applyNumberFormat="0" applyFill="0" applyBorder="0" applyAlignment="0" applyProtection="0"/>
    <xf numFmtId="0" fontId="15" fillId="4" borderId="0" applyNumberFormat="0" applyBorder="0" applyAlignment="0" applyProtection="0"/>
    <xf numFmtId="0" fontId="16" fillId="0" borderId="3" applyNumberFormat="0" applyFill="0" applyAlignment="0" applyProtection="0"/>
    <xf numFmtId="0" fontId="17" fillId="0" borderId="4" applyNumberFormat="0" applyFill="0" applyAlignment="0" applyProtection="0"/>
    <xf numFmtId="0" fontId="18" fillId="0" borderId="5" applyNumberFormat="0" applyFill="0" applyAlignment="0" applyProtection="0"/>
    <xf numFmtId="0" fontId="18" fillId="0" borderId="0" applyNumberFormat="0" applyFill="0" applyBorder="0" applyAlignment="0" applyProtection="0"/>
    <xf numFmtId="0" fontId="19" fillId="7" borderId="1" applyNumberFormat="0" applyAlignment="0" applyProtection="0"/>
    <xf numFmtId="0" fontId="20" fillId="0" borderId="6" applyNumberFormat="0" applyFill="0" applyAlignment="0" applyProtection="0"/>
    <xf numFmtId="0" fontId="21" fillId="22" borderId="0" applyNumberFormat="0" applyBorder="0" applyAlignment="0" applyProtection="0"/>
    <xf numFmtId="0" fontId="8" fillId="0" borderId="0"/>
    <xf numFmtId="0" fontId="8" fillId="23" borderId="7" applyNumberFormat="0" applyFont="0" applyAlignment="0" applyProtection="0"/>
    <xf numFmtId="0" fontId="22" fillId="20" borderId="8" applyNumberFormat="0" applyAlignment="0" applyProtection="0"/>
    <xf numFmtId="0" fontId="23" fillId="0" borderId="0" applyNumberFormat="0" applyFill="0" applyBorder="0" applyAlignment="0" applyProtection="0"/>
    <xf numFmtId="0" fontId="24" fillId="0" borderId="9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26" fillId="0" borderId="0"/>
    <xf numFmtId="0" fontId="8" fillId="0" borderId="0"/>
    <xf numFmtId="43" fontId="26" fillId="0" borderId="0" applyFont="0" applyFill="0" applyBorder="0" applyAlignment="0" applyProtection="0"/>
    <xf numFmtId="0" fontId="27" fillId="0" borderId="0"/>
    <xf numFmtId="43" fontId="8" fillId="0" borderId="0" applyFont="0" applyFill="0" applyBorder="0" applyAlignment="0" applyProtection="0"/>
    <xf numFmtId="0" fontId="8" fillId="0" borderId="0"/>
    <xf numFmtId="44" fontId="27" fillId="0" borderId="0" applyFont="0" applyFill="0" applyBorder="0" applyAlignment="0" applyProtection="0"/>
    <xf numFmtId="0" fontId="6" fillId="0" borderId="0"/>
    <xf numFmtId="0" fontId="8" fillId="0" borderId="0"/>
    <xf numFmtId="0" fontId="6" fillId="0" borderId="0"/>
    <xf numFmtId="0" fontId="29" fillId="0" borderId="0" applyNumberFormat="0" applyFill="0" applyBorder="0" applyAlignment="0" applyProtection="0"/>
    <xf numFmtId="44" fontId="8" fillId="0" borderId="0" applyFont="0" applyFill="0" applyBorder="0" applyAlignment="0" applyProtection="0"/>
    <xf numFmtId="44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0" fontId="5" fillId="0" borderId="0"/>
    <xf numFmtId="9" fontId="5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62">
    <xf numFmtId="0" fontId="0" fillId="0" borderId="0" xfId="0"/>
    <xf numFmtId="0" fontId="28" fillId="0" borderId="0" xfId="0" applyFont="1" applyAlignment="1">
      <alignment vertical="top"/>
    </xf>
    <xf numFmtId="0" fontId="28" fillId="0" borderId="12" xfId="0" applyFont="1" applyBorder="1" applyAlignment="1">
      <alignment horizontal="center" vertical="top"/>
    </xf>
    <xf numFmtId="0" fontId="28" fillId="0" borderId="0" xfId="0" applyFont="1" applyAlignment="1">
      <alignment horizontal="center" vertical="top"/>
    </xf>
    <xf numFmtId="2" fontId="28" fillId="0" borderId="0" xfId="0" applyNumberFormat="1" applyFont="1" applyAlignment="1">
      <alignment horizontal="center" vertical="top" wrapText="1"/>
    </xf>
    <xf numFmtId="164" fontId="28" fillId="0" borderId="0" xfId="0" applyNumberFormat="1" applyFont="1" applyAlignment="1">
      <alignment vertical="top"/>
    </xf>
    <xf numFmtId="0" fontId="30" fillId="25" borderId="0" xfId="0" applyFont="1" applyFill="1" applyAlignment="1">
      <alignment vertical="top"/>
    </xf>
    <xf numFmtId="2" fontId="28" fillId="0" borderId="0" xfId="0" applyNumberFormat="1" applyFont="1" applyAlignment="1">
      <alignment horizontal="left" vertical="top" wrapText="1"/>
    </xf>
    <xf numFmtId="0" fontId="28" fillId="24" borderId="0" xfId="0" applyFont="1" applyFill="1" applyAlignment="1">
      <alignment vertical="top"/>
    </xf>
    <xf numFmtId="1" fontId="28" fillId="0" borderId="0" xfId="0" applyNumberFormat="1" applyFont="1" applyAlignment="1">
      <alignment horizontal="center" vertical="top" wrapText="1"/>
    </xf>
    <xf numFmtId="0" fontId="28" fillId="0" borderId="0" xfId="0" applyFont="1" applyAlignment="1">
      <alignment horizontal="center" vertical="top" wrapText="1"/>
    </xf>
    <xf numFmtId="44" fontId="28" fillId="0" borderId="0" xfId="56" applyFont="1" applyBorder="1" applyAlignment="1">
      <alignment horizontal="center" vertical="top"/>
    </xf>
    <xf numFmtId="0" fontId="35" fillId="24" borderId="0" xfId="45" applyFont="1" applyFill="1" applyAlignment="1">
      <alignment vertical="top"/>
    </xf>
    <xf numFmtId="0" fontId="28" fillId="0" borderId="0" xfId="45" applyFont="1" applyAlignment="1">
      <alignment vertical="top"/>
    </xf>
    <xf numFmtId="0" fontId="28" fillId="24" borderId="0" xfId="45" applyFont="1" applyFill="1" applyAlignment="1">
      <alignment vertical="top"/>
    </xf>
    <xf numFmtId="0" fontId="35" fillId="0" borderId="0" xfId="45" applyFont="1" applyAlignment="1">
      <alignment vertical="top"/>
    </xf>
    <xf numFmtId="0" fontId="38" fillId="0" borderId="0" xfId="45" applyFont="1" applyAlignment="1">
      <alignment vertical="top"/>
    </xf>
    <xf numFmtId="0" fontId="28" fillId="28" borderId="11" xfId="0" applyFont="1" applyFill="1" applyBorder="1" applyAlignment="1">
      <alignment vertical="top"/>
    </xf>
    <xf numFmtId="0" fontId="0" fillId="28" borderId="0" xfId="0" applyFill="1"/>
    <xf numFmtId="0" fontId="28" fillId="28" borderId="0" xfId="0" applyFont="1" applyFill="1" applyAlignment="1">
      <alignment vertical="top"/>
    </xf>
    <xf numFmtId="0" fontId="28" fillId="24" borderId="11" xfId="0" applyFont="1" applyFill="1" applyBorder="1" applyAlignment="1">
      <alignment vertical="top"/>
    </xf>
    <xf numFmtId="0" fontId="0" fillId="24" borderId="0" xfId="0" applyFill="1"/>
    <xf numFmtId="0" fontId="30" fillId="24" borderId="0" xfId="0" applyFont="1" applyFill="1" applyAlignment="1">
      <alignment vertical="top"/>
    </xf>
    <xf numFmtId="0" fontId="38" fillId="24" borderId="0" xfId="45" applyFont="1" applyFill="1" applyAlignment="1">
      <alignment vertical="top"/>
    </xf>
    <xf numFmtId="2" fontId="34" fillId="0" borderId="10" xfId="0" applyNumberFormat="1" applyFont="1" applyBorder="1" applyAlignment="1">
      <alignment horizontal="left" vertical="center" wrapText="1"/>
    </xf>
    <xf numFmtId="0" fontId="32" fillId="28" borderId="25" xfId="0" applyFont="1" applyFill="1" applyBorder="1" applyAlignment="1">
      <alignment horizontal="center" vertical="center" wrapText="1"/>
    </xf>
    <xf numFmtId="1" fontId="32" fillId="28" borderId="26" xfId="0" applyNumberFormat="1" applyFont="1" applyFill="1" applyBorder="1" applyAlignment="1">
      <alignment horizontal="center" vertical="center" wrapText="1"/>
    </xf>
    <xf numFmtId="44" fontId="32" fillId="28" borderId="26" xfId="0" applyNumberFormat="1" applyFont="1" applyFill="1" applyBorder="1" applyAlignment="1">
      <alignment horizontal="center" vertical="center" wrapText="1"/>
    </xf>
    <xf numFmtId="0" fontId="32" fillId="28" borderId="26" xfId="0" applyFont="1" applyFill="1" applyBorder="1" applyAlignment="1">
      <alignment horizontal="center" vertical="center" wrapText="1"/>
    </xf>
    <xf numFmtId="0" fontId="34" fillId="0" borderId="21" xfId="45" applyFont="1" applyBorder="1" applyAlignment="1">
      <alignment horizontal="center" vertical="center"/>
    </xf>
    <xf numFmtId="0" fontId="34" fillId="0" borderId="13" xfId="0" applyFont="1" applyBorder="1" applyAlignment="1">
      <alignment vertical="center" wrapText="1"/>
    </xf>
    <xf numFmtId="0" fontId="33" fillId="0" borderId="13" xfId="0" applyFont="1" applyBorder="1" applyAlignment="1">
      <alignment vertical="center"/>
    </xf>
    <xf numFmtId="0" fontId="33" fillId="0" borderId="13" xfId="0" applyFont="1" applyBorder="1" applyAlignment="1">
      <alignment horizontal="left" vertical="center"/>
    </xf>
    <xf numFmtId="1" fontId="34" fillId="0" borderId="13" xfId="0" applyNumberFormat="1" applyFont="1" applyBorder="1" applyAlignment="1">
      <alignment horizontal="center" vertical="center"/>
    </xf>
    <xf numFmtId="0" fontId="34" fillId="0" borderId="13" xfId="0" applyFont="1" applyBorder="1" applyAlignment="1">
      <alignment vertical="center"/>
    </xf>
    <xf numFmtId="44" fontId="34" fillId="0" borderId="13" xfId="55" applyFont="1" applyFill="1" applyBorder="1" applyAlignment="1">
      <alignment vertical="center"/>
    </xf>
    <xf numFmtId="0" fontId="34" fillId="0" borderId="16" xfId="45" applyFont="1" applyBorder="1" applyAlignment="1">
      <alignment horizontal="center" vertical="center"/>
    </xf>
    <xf numFmtId="0" fontId="34" fillId="0" borderId="10" xfId="45" applyFont="1" applyBorder="1" applyAlignment="1">
      <alignment horizontal="center" vertical="center"/>
    </xf>
    <xf numFmtId="0" fontId="34" fillId="0" borderId="10" xfId="0" applyFont="1" applyBorder="1" applyAlignment="1">
      <alignment horizontal="center" vertical="center"/>
    </xf>
    <xf numFmtId="2" fontId="33" fillId="0" borderId="10" xfId="0" applyNumberFormat="1" applyFont="1" applyBorder="1" applyAlignment="1">
      <alignment vertical="center" wrapText="1"/>
    </xf>
    <xf numFmtId="0" fontId="34" fillId="0" borderId="10" xfId="0" applyFont="1" applyBorder="1" applyAlignment="1">
      <alignment vertical="center"/>
    </xf>
    <xf numFmtId="41" fontId="34" fillId="0" borderId="10" xfId="45" applyNumberFormat="1" applyFont="1" applyBorder="1" applyAlignment="1">
      <alignment horizontal="center" vertical="center"/>
    </xf>
    <xf numFmtId="165" fontId="34" fillId="0" borderId="10" xfId="55" applyNumberFormat="1" applyFont="1" applyFill="1" applyBorder="1" applyAlignment="1">
      <alignment horizontal="center" vertical="center"/>
    </xf>
    <xf numFmtId="166" fontId="33" fillId="0" borderId="10" xfId="45" applyNumberFormat="1" applyFont="1" applyBorder="1" applyAlignment="1">
      <alignment horizontal="center" vertical="center"/>
    </xf>
    <xf numFmtId="0" fontId="34" fillId="0" borderId="10" xfId="0" applyFont="1" applyBorder="1" applyAlignment="1">
      <alignment horizontal="center" vertical="center" wrapText="1"/>
    </xf>
    <xf numFmtId="1" fontId="40" fillId="0" borderId="10" xfId="0" applyNumberFormat="1" applyFont="1" applyBorder="1" applyAlignment="1">
      <alignment horizontal="center" vertical="center" wrapText="1"/>
    </xf>
    <xf numFmtId="2" fontId="34" fillId="0" borderId="10" xfId="45" applyNumberFormat="1" applyFont="1" applyBorder="1" applyAlignment="1">
      <alignment horizontal="left" vertical="center" wrapText="1"/>
    </xf>
    <xf numFmtId="1" fontId="34" fillId="0" borderId="10" xfId="0" applyNumberFormat="1" applyFont="1" applyBorder="1" applyAlignment="1">
      <alignment horizontal="center" vertical="center"/>
    </xf>
    <xf numFmtId="9" fontId="34" fillId="0" borderId="10" xfId="58" applyFont="1" applyFill="1" applyBorder="1" applyAlignment="1" applyProtection="1">
      <alignment horizontal="center" vertical="center"/>
    </xf>
    <xf numFmtId="41" fontId="34" fillId="0" borderId="10" xfId="0" applyNumberFormat="1" applyFont="1" applyBorder="1" applyAlignment="1">
      <alignment horizontal="center" vertical="center"/>
    </xf>
    <xf numFmtId="165" fontId="34" fillId="0" borderId="10" xfId="55" applyNumberFormat="1" applyFont="1" applyFill="1" applyBorder="1" applyAlignment="1" applyProtection="1">
      <alignment horizontal="center" vertical="center"/>
    </xf>
    <xf numFmtId="165" fontId="34" fillId="0" borderId="10" xfId="45" applyNumberFormat="1" applyFont="1" applyBorder="1" applyAlignment="1">
      <alignment horizontal="center" vertical="center"/>
    </xf>
    <xf numFmtId="1" fontId="34" fillId="0" borderId="10" xfId="45" applyNumberFormat="1" applyFont="1" applyBorder="1" applyAlignment="1">
      <alignment horizontal="center" vertical="center"/>
    </xf>
    <xf numFmtId="44" fontId="34" fillId="0" borderId="10" xfId="55" applyFont="1" applyFill="1" applyBorder="1" applyAlignment="1" applyProtection="1">
      <alignment horizontal="center" vertical="center"/>
    </xf>
    <xf numFmtId="9" fontId="34" fillId="0" borderId="10" xfId="45" applyNumberFormat="1" applyFont="1" applyBorder="1" applyAlignment="1">
      <alignment horizontal="center" vertical="center"/>
    </xf>
    <xf numFmtId="2" fontId="33" fillId="0" borderId="10" xfId="0" applyNumberFormat="1" applyFont="1" applyBorder="1" applyAlignment="1">
      <alignment horizontal="left" vertical="center" wrapText="1"/>
    </xf>
    <xf numFmtId="165" fontId="33" fillId="0" borderId="10" xfId="55" applyNumberFormat="1" applyFont="1" applyFill="1" applyBorder="1" applyAlignment="1">
      <alignment horizontal="center" vertical="center"/>
    </xf>
    <xf numFmtId="2" fontId="33" fillId="0" borderId="10" xfId="0" applyNumberFormat="1" applyFont="1" applyBorder="1" applyAlignment="1">
      <alignment horizontal="right" vertical="center" wrapText="1"/>
    </xf>
    <xf numFmtId="0" fontId="34" fillId="0" borderId="10" xfId="0" applyFont="1" applyBorder="1" applyAlignment="1">
      <alignment vertical="center" wrapText="1"/>
    </xf>
    <xf numFmtId="0" fontId="33" fillId="0" borderId="10" xfId="0" applyFont="1" applyBorder="1" applyAlignment="1">
      <alignment vertical="center"/>
    </xf>
    <xf numFmtId="0" fontId="33" fillId="0" borderId="10" xfId="0" applyFont="1" applyBorder="1" applyAlignment="1">
      <alignment horizontal="left" vertical="center"/>
    </xf>
    <xf numFmtId="44" fontId="34" fillId="0" borderId="10" xfId="55" applyFont="1" applyFill="1" applyBorder="1" applyAlignment="1">
      <alignment vertical="center"/>
    </xf>
    <xf numFmtId="0" fontId="43" fillId="0" borderId="10" xfId="45" applyFont="1" applyBorder="1" applyAlignment="1">
      <alignment horizontal="center" vertical="center"/>
    </xf>
    <xf numFmtId="0" fontId="43" fillId="0" borderId="10" xfId="45" applyFont="1" applyBorder="1" applyAlignment="1">
      <alignment horizontal="center" vertical="center" wrapText="1"/>
    </xf>
    <xf numFmtId="0" fontId="34" fillId="0" borderId="10" xfId="45" applyFont="1" applyBorder="1" applyAlignment="1">
      <alignment horizontal="center" vertical="center" wrapText="1"/>
    </xf>
    <xf numFmtId="2" fontId="33" fillId="0" borderId="10" xfId="45" applyNumberFormat="1" applyFont="1" applyBorder="1" applyAlignment="1">
      <alignment horizontal="left" vertical="center" wrapText="1"/>
    </xf>
    <xf numFmtId="1" fontId="43" fillId="0" borderId="10" xfId="45" applyNumberFormat="1" applyFont="1" applyBorder="1" applyAlignment="1">
      <alignment horizontal="center" vertical="center"/>
    </xf>
    <xf numFmtId="9" fontId="43" fillId="0" borderId="10" xfId="45" applyNumberFormat="1" applyFont="1" applyBorder="1" applyAlignment="1">
      <alignment horizontal="center" vertical="center"/>
    </xf>
    <xf numFmtId="41" fontId="43" fillId="0" borderId="10" xfId="45" applyNumberFormat="1" applyFont="1" applyBorder="1" applyAlignment="1">
      <alignment horizontal="center" vertical="center"/>
    </xf>
    <xf numFmtId="44" fontId="43" fillId="0" borderId="10" xfId="55" applyFont="1" applyFill="1" applyBorder="1" applyAlignment="1">
      <alignment horizontal="center" vertical="center"/>
    </xf>
    <xf numFmtId="166" fontId="42" fillId="0" borderId="10" xfId="45" applyNumberFormat="1" applyFont="1" applyBorder="1" applyAlignment="1">
      <alignment horizontal="center" vertical="center"/>
    </xf>
    <xf numFmtId="170" fontId="42" fillId="0" borderId="10" xfId="45" applyNumberFormat="1" applyFont="1" applyBorder="1" applyAlignment="1">
      <alignment horizontal="center" vertical="center" wrapText="1"/>
    </xf>
    <xf numFmtId="0" fontId="40" fillId="0" borderId="10" xfId="45" applyFont="1" applyBorder="1" applyAlignment="1">
      <alignment horizontal="center" vertical="center" wrapText="1"/>
    </xf>
    <xf numFmtId="173" fontId="34" fillId="0" borderId="10" xfId="45" applyNumberFormat="1" applyFont="1" applyBorder="1" applyAlignment="1">
      <alignment horizontal="center" vertical="center"/>
    </xf>
    <xf numFmtId="2" fontId="40" fillId="0" borderId="10" xfId="45" applyNumberFormat="1" applyFont="1" applyBorder="1" applyAlignment="1">
      <alignment horizontal="left" vertical="center" wrapText="1"/>
    </xf>
    <xf numFmtId="1" fontId="34" fillId="0" borderId="10" xfId="45" applyNumberFormat="1" applyFont="1" applyBorder="1" applyAlignment="1">
      <alignment horizontal="right" vertical="center"/>
    </xf>
    <xf numFmtId="0" fontId="44" fillId="0" borderId="10" xfId="45" applyFont="1" applyBorder="1" applyAlignment="1">
      <alignment vertical="center" wrapText="1"/>
    </xf>
    <xf numFmtId="167" fontId="34" fillId="0" borderId="10" xfId="45" applyNumberFormat="1" applyFont="1" applyBorder="1" applyAlignment="1">
      <alignment horizontal="center" vertical="center"/>
    </xf>
    <xf numFmtId="175" fontId="34" fillId="0" borderId="10" xfId="45" applyNumberFormat="1" applyFont="1" applyBorder="1" applyAlignment="1">
      <alignment horizontal="center" vertical="center"/>
    </xf>
    <xf numFmtId="44" fontId="34" fillId="0" borderId="10" xfId="55" applyFont="1" applyFill="1" applyBorder="1" applyAlignment="1">
      <alignment horizontal="center" vertical="center"/>
    </xf>
    <xf numFmtId="173" fontId="34" fillId="0" borderId="10" xfId="45" applyNumberFormat="1" applyFont="1" applyBorder="1" applyAlignment="1">
      <alignment horizontal="center" vertical="center" wrapText="1"/>
    </xf>
    <xf numFmtId="174" fontId="34" fillId="0" borderId="10" xfId="45" applyNumberFormat="1" applyFont="1" applyBorder="1" applyAlignment="1">
      <alignment horizontal="center" vertical="center" wrapText="1"/>
    </xf>
    <xf numFmtId="170" fontId="33" fillId="0" borderId="10" xfId="45" applyNumberFormat="1" applyFont="1" applyBorder="1" applyAlignment="1">
      <alignment horizontal="center" vertical="center" wrapText="1"/>
    </xf>
    <xf numFmtId="2" fontId="34" fillId="0" borderId="10" xfId="45" applyNumberFormat="1" applyFont="1" applyBorder="1" applyAlignment="1">
      <alignment horizontal="center" vertical="center" wrapText="1"/>
    </xf>
    <xf numFmtId="2" fontId="34" fillId="0" borderId="10" xfId="45" applyNumberFormat="1" applyFont="1" applyBorder="1" applyAlignment="1">
      <alignment horizontal="center" vertical="center"/>
    </xf>
    <xf numFmtId="1" fontId="34" fillId="0" borderId="10" xfId="0" applyNumberFormat="1" applyFont="1" applyBorder="1" applyAlignment="1">
      <alignment horizontal="right" vertical="center"/>
    </xf>
    <xf numFmtId="2" fontId="33" fillId="0" borderId="10" xfId="0" applyNumberFormat="1" applyFont="1" applyBorder="1" applyAlignment="1">
      <alignment horizontal="center" vertical="center" wrapText="1"/>
    </xf>
    <xf numFmtId="9" fontId="34" fillId="0" borderId="10" xfId="0" applyNumberFormat="1" applyFont="1" applyBorder="1" applyAlignment="1">
      <alignment horizontal="center" vertical="center"/>
    </xf>
    <xf numFmtId="2" fontId="46" fillId="0" borderId="10" xfId="0" applyNumberFormat="1" applyFont="1" applyBorder="1" applyAlignment="1">
      <alignment horizontal="left" vertical="center" wrapText="1"/>
    </xf>
    <xf numFmtId="1" fontId="33" fillId="0" borderId="10" xfId="0" applyNumberFormat="1" applyFont="1" applyBorder="1" applyAlignment="1">
      <alignment horizontal="center" vertical="center" wrapText="1"/>
    </xf>
    <xf numFmtId="2" fontId="34" fillId="0" borderId="10" xfId="0" applyNumberFormat="1" applyFont="1" applyBorder="1" applyAlignment="1">
      <alignment horizontal="right" vertical="center" wrapText="1"/>
    </xf>
    <xf numFmtId="1" fontId="34" fillId="0" borderId="10" xfId="0" applyNumberFormat="1" applyFont="1" applyBorder="1" applyAlignment="1">
      <alignment vertical="center"/>
    </xf>
    <xf numFmtId="9" fontId="34" fillId="0" borderId="10" xfId="0" applyNumberFormat="1" applyFont="1" applyBorder="1" applyAlignment="1">
      <alignment vertical="center"/>
    </xf>
    <xf numFmtId="166" fontId="33" fillId="0" borderId="10" xfId="0" applyNumberFormat="1" applyFont="1" applyBorder="1" applyAlignment="1">
      <alignment horizontal="center" vertical="center"/>
    </xf>
    <xf numFmtId="44" fontId="34" fillId="0" borderId="10" xfId="0" applyNumberFormat="1" applyFont="1" applyBorder="1" applyAlignment="1">
      <alignment horizontal="center" vertical="center"/>
    </xf>
    <xf numFmtId="165" fontId="34" fillId="0" borderId="10" xfId="0" applyNumberFormat="1" applyFont="1" applyBorder="1" applyAlignment="1">
      <alignment horizontal="center" vertical="center"/>
    </xf>
    <xf numFmtId="0" fontId="33" fillId="0" borderId="10" xfId="0" applyFont="1" applyBorder="1" applyAlignment="1">
      <alignment vertical="center" wrapText="1"/>
    </xf>
    <xf numFmtId="0" fontId="40" fillId="0" borderId="10" xfId="0" applyFont="1" applyBorder="1" applyAlignment="1">
      <alignment vertical="center"/>
    </xf>
    <xf numFmtId="166" fontId="34" fillId="0" borderId="10" xfId="45" applyNumberFormat="1" applyFont="1" applyBorder="1" applyAlignment="1">
      <alignment horizontal="center" vertical="center"/>
    </xf>
    <xf numFmtId="167" fontId="34" fillId="0" borderId="10" xfId="0" applyNumberFormat="1" applyFont="1" applyBorder="1" applyAlignment="1">
      <alignment horizontal="center" vertical="center"/>
    </xf>
    <xf numFmtId="2" fontId="40" fillId="0" borderId="10" xfId="0" applyNumberFormat="1" applyFont="1" applyBorder="1" applyAlignment="1">
      <alignment horizontal="left" vertical="center" wrapText="1"/>
    </xf>
    <xf numFmtId="168" fontId="34" fillId="0" borderId="10" xfId="0" applyNumberFormat="1" applyFont="1" applyBorder="1" applyAlignment="1">
      <alignment horizontal="center" vertical="center"/>
    </xf>
    <xf numFmtId="0" fontId="40" fillId="0" borderId="10" xfId="0" applyFont="1" applyBorder="1" applyAlignment="1">
      <alignment vertical="center" wrapText="1"/>
    </xf>
    <xf numFmtId="1" fontId="47" fillId="0" borderId="10" xfId="45" applyNumberFormat="1" applyFont="1" applyBorder="1" applyAlignment="1">
      <alignment horizontal="right" vertical="center"/>
    </xf>
    <xf numFmtId="0" fontId="33" fillId="24" borderId="12" xfId="0" applyFont="1" applyFill="1" applyBorder="1" applyAlignment="1">
      <alignment horizontal="left" vertical="center"/>
    </xf>
    <xf numFmtId="165" fontId="33" fillId="24" borderId="0" xfId="55" applyNumberFormat="1" applyFont="1" applyFill="1" applyBorder="1" applyAlignment="1" applyProtection="1">
      <alignment horizontal="left" vertical="center"/>
    </xf>
    <xf numFmtId="1" fontId="32" fillId="28" borderId="16" xfId="0" applyNumberFormat="1" applyFont="1" applyFill="1" applyBorder="1" applyAlignment="1">
      <alignment horizontal="left" vertical="center"/>
    </xf>
    <xf numFmtId="1" fontId="32" fillId="28" borderId="10" xfId="0" applyNumberFormat="1" applyFont="1" applyFill="1" applyBorder="1" applyAlignment="1">
      <alignment horizontal="left" vertical="center" wrapText="1"/>
    </xf>
    <xf numFmtId="1" fontId="32" fillId="28" borderId="10" xfId="0" applyNumberFormat="1" applyFont="1" applyFill="1" applyBorder="1" applyAlignment="1">
      <alignment horizontal="left" vertical="center"/>
    </xf>
    <xf numFmtId="0" fontId="36" fillId="28" borderId="10" xfId="0" applyFont="1" applyFill="1" applyBorder="1" applyAlignment="1">
      <alignment horizontal="left" vertical="center" wrapText="1"/>
    </xf>
    <xf numFmtId="1" fontId="36" fillId="28" borderId="10" xfId="0" applyNumberFormat="1" applyFont="1" applyFill="1" applyBorder="1" applyAlignment="1">
      <alignment horizontal="center" vertical="center"/>
    </xf>
    <xf numFmtId="41" fontId="36" fillId="28" borderId="10" xfId="0" applyNumberFormat="1" applyFont="1" applyFill="1" applyBorder="1" applyAlignment="1">
      <alignment horizontal="right" vertical="center"/>
    </xf>
    <xf numFmtId="0" fontId="36" fillId="28" borderId="10" xfId="0" applyFont="1" applyFill="1" applyBorder="1" applyAlignment="1">
      <alignment horizontal="center" vertical="center"/>
    </xf>
    <xf numFmtId="44" fontId="36" fillId="28" borderId="10" xfId="56" applyFont="1" applyFill="1" applyBorder="1" applyAlignment="1">
      <alignment horizontal="center" vertical="center"/>
    </xf>
    <xf numFmtId="165" fontId="32" fillId="28" borderId="10" xfId="0" applyNumberFormat="1" applyFont="1" applyFill="1" applyBorder="1" applyAlignment="1">
      <alignment horizontal="left" vertical="center"/>
    </xf>
    <xf numFmtId="1" fontId="37" fillId="27" borderId="16" xfId="0" applyNumberFormat="1" applyFont="1" applyFill="1" applyBorder="1" applyAlignment="1">
      <alignment horizontal="left" vertical="center"/>
    </xf>
    <xf numFmtId="1" fontId="37" fillId="27" borderId="10" xfId="0" applyNumberFormat="1" applyFont="1" applyFill="1" applyBorder="1" applyAlignment="1">
      <alignment horizontal="left" vertical="center" wrapText="1"/>
    </xf>
    <xf numFmtId="1" fontId="37" fillId="27" borderId="10" xfId="0" applyNumberFormat="1" applyFont="1" applyFill="1" applyBorder="1" applyAlignment="1">
      <alignment horizontal="left" vertical="center"/>
    </xf>
    <xf numFmtId="0" fontId="41" fillId="27" borderId="10" xfId="0" applyFont="1" applyFill="1" applyBorder="1" applyAlignment="1">
      <alignment horizontal="left" vertical="center" wrapText="1"/>
    </xf>
    <xf numFmtId="1" fontId="41" fillId="27" borderId="10" xfId="0" applyNumberFormat="1" applyFont="1" applyFill="1" applyBorder="1" applyAlignment="1">
      <alignment horizontal="center" vertical="center"/>
    </xf>
    <xf numFmtId="41" fontId="41" fillId="27" borderId="10" xfId="0" applyNumberFormat="1" applyFont="1" applyFill="1" applyBorder="1" applyAlignment="1">
      <alignment horizontal="right" vertical="center"/>
    </xf>
    <xf numFmtId="0" fontId="41" fillId="27" borderId="10" xfId="0" applyFont="1" applyFill="1" applyBorder="1" applyAlignment="1">
      <alignment horizontal="center" vertical="center"/>
    </xf>
    <xf numFmtId="9" fontId="37" fillId="26" borderId="10" xfId="57" applyFont="1" applyFill="1" applyBorder="1" applyAlignment="1">
      <alignment horizontal="center" vertical="center"/>
    </xf>
    <xf numFmtId="165" fontId="37" fillId="27" borderId="10" xfId="0" applyNumberFormat="1" applyFont="1" applyFill="1" applyBorder="1" applyAlignment="1">
      <alignment horizontal="left" vertical="center"/>
    </xf>
    <xf numFmtId="1" fontId="32" fillId="28" borderId="24" xfId="0" applyNumberFormat="1" applyFont="1" applyFill="1" applyBorder="1" applyAlignment="1">
      <alignment horizontal="left" vertical="center"/>
    </xf>
    <xf numFmtId="0" fontId="36" fillId="28" borderId="22" xfId="0" applyFont="1" applyFill="1" applyBorder="1" applyAlignment="1">
      <alignment horizontal="center" vertical="center" wrapText="1"/>
    </xf>
    <xf numFmtId="0" fontId="36" fillId="28" borderId="22" xfId="0" applyFont="1" applyFill="1" applyBorder="1" applyAlignment="1">
      <alignment horizontal="center" vertical="center"/>
    </xf>
    <xf numFmtId="2" fontId="36" fillId="28" borderId="22" xfId="0" applyNumberFormat="1" applyFont="1" applyFill="1" applyBorder="1" applyAlignment="1">
      <alignment horizontal="left" vertical="center" wrapText="1"/>
    </xf>
    <xf numFmtId="1" fontId="36" fillId="28" borderId="22" xfId="0" applyNumberFormat="1" applyFont="1" applyFill="1" applyBorder="1" applyAlignment="1">
      <alignment horizontal="center" vertical="center"/>
    </xf>
    <xf numFmtId="2" fontId="36" fillId="28" borderId="22" xfId="0" applyNumberFormat="1" applyFont="1" applyFill="1" applyBorder="1" applyAlignment="1">
      <alignment horizontal="center" vertical="center" wrapText="1"/>
    </xf>
    <xf numFmtId="2" fontId="45" fillId="28" borderId="22" xfId="54" applyNumberFormat="1" applyFont="1" applyFill="1" applyBorder="1" applyAlignment="1">
      <alignment horizontal="left" vertical="center"/>
    </xf>
    <xf numFmtId="44" fontId="36" fillId="28" borderId="22" xfId="56" applyFont="1" applyFill="1" applyBorder="1" applyAlignment="1">
      <alignment horizontal="center" vertical="center"/>
    </xf>
    <xf numFmtId="165" fontId="32" fillId="28" borderId="22" xfId="0" applyNumberFormat="1" applyFont="1" applyFill="1" applyBorder="1" applyAlignment="1">
      <alignment horizontal="left" vertical="center"/>
    </xf>
    <xf numFmtId="0" fontId="41" fillId="0" borderId="10" xfId="0" applyFont="1" applyBorder="1" applyAlignment="1">
      <alignment vertical="center"/>
    </xf>
    <xf numFmtId="44" fontId="45" fillId="0" borderId="10" xfId="45" applyNumberFormat="1" applyFont="1" applyBorder="1" applyAlignment="1">
      <alignment vertical="center"/>
    </xf>
    <xf numFmtId="166" fontId="32" fillId="28" borderId="10" xfId="0" applyNumberFormat="1" applyFont="1" applyFill="1" applyBorder="1" applyAlignment="1">
      <alignment horizontal="center" vertical="center"/>
    </xf>
    <xf numFmtId="0" fontId="28" fillId="28" borderId="17" xfId="0" applyFont="1" applyFill="1" applyBorder="1" applyAlignment="1">
      <alignment vertical="top"/>
    </xf>
    <xf numFmtId="0" fontId="28" fillId="28" borderId="23" xfId="0" applyFont="1" applyFill="1" applyBorder="1" applyAlignment="1">
      <alignment vertical="top"/>
    </xf>
    <xf numFmtId="0" fontId="33" fillId="24" borderId="0" xfId="0" applyFont="1" applyFill="1" applyAlignment="1">
      <alignment horizontal="center" vertical="center" wrapText="1"/>
    </xf>
    <xf numFmtId="14" fontId="33" fillId="24" borderId="0" xfId="0" applyNumberFormat="1" applyFont="1" applyFill="1" applyAlignment="1">
      <alignment horizontal="left" vertical="center"/>
    </xf>
    <xf numFmtId="44" fontId="39" fillId="24" borderId="0" xfId="0" applyNumberFormat="1" applyFont="1" applyFill="1" applyAlignment="1">
      <alignment horizontal="left" vertical="center"/>
    </xf>
    <xf numFmtId="44" fontId="33" fillId="24" borderId="0" xfId="0" applyNumberFormat="1" applyFont="1" applyFill="1" applyAlignment="1">
      <alignment horizontal="left" vertical="center"/>
    </xf>
    <xf numFmtId="2" fontId="48" fillId="24" borderId="0" xfId="54" applyNumberFormat="1" applyFont="1" applyFill="1" applyBorder="1" applyAlignment="1">
      <alignment horizontal="center" vertical="center"/>
    </xf>
    <xf numFmtId="0" fontId="41" fillId="0" borderId="13" xfId="0" applyFont="1" applyBorder="1" applyAlignment="1">
      <alignment vertical="center"/>
    </xf>
    <xf numFmtId="0" fontId="28" fillId="24" borderId="15" xfId="0" applyFont="1" applyFill="1" applyBorder="1" applyAlignment="1">
      <alignment vertical="top"/>
    </xf>
    <xf numFmtId="164" fontId="32" fillId="28" borderId="26" xfId="0" applyNumberFormat="1" applyFont="1" applyFill="1" applyBorder="1" applyAlignment="1">
      <alignment horizontal="center" vertical="center" wrapText="1"/>
    </xf>
    <xf numFmtId="0" fontId="32" fillId="28" borderId="20" xfId="45" applyFont="1" applyFill="1" applyBorder="1" applyAlignment="1">
      <alignment horizontal="center" vertical="center" wrapText="1"/>
    </xf>
    <xf numFmtId="166" fontId="37" fillId="29" borderId="10" xfId="0" applyNumberFormat="1" applyFont="1" applyFill="1" applyBorder="1" applyAlignment="1">
      <alignment horizontal="center" vertical="center"/>
    </xf>
    <xf numFmtId="0" fontId="28" fillId="29" borderId="17" xfId="0" applyFont="1" applyFill="1" applyBorder="1" applyAlignment="1">
      <alignment vertical="top"/>
    </xf>
    <xf numFmtId="0" fontId="30" fillId="0" borderId="14" xfId="0" applyFont="1" applyBorder="1" applyAlignment="1">
      <alignment vertical="top"/>
    </xf>
    <xf numFmtId="0" fontId="28" fillId="0" borderId="17" xfId="45" applyFont="1" applyBorder="1" applyAlignment="1">
      <alignment vertical="top"/>
    </xf>
    <xf numFmtId="0" fontId="30" fillId="0" borderId="17" xfId="0" applyFont="1" applyBorder="1" applyAlignment="1">
      <alignment vertical="top"/>
    </xf>
    <xf numFmtId="0" fontId="38" fillId="0" borderId="17" xfId="45" applyFont="1" applyBorder="1" applyAlignment="1">
      <alignment vertical="top"/>
    </xf>
    <xf numFmtId="0" fontId="28" fillId="0" borderId="17" xfId="0" applyFont="1" applyBorder="1" applyAlignment="1">
      <alignment vertical="top"/>
    </xf>
    <xf numFmtId="0" fontId="35" fillId="0" borderId="17" xfId="45" applyFont="1" applyBorder="1" applyAlignment="1">
      <alignment vertical="top"/>
    </xf>
    <xf numFmtId="2" fontId="32" fillId="28" borderId="18" xfId="0" applyNumberFormat="1" applyFont="1" applyFill="1" applyBorder="1" applyAlignment="1">
      <alignment horizontal="left" vertical="center"/>
    </xf>
    <xf numFmtId="2" fontId="32" fillId="28" borderId="11" xfId="0" applyNumberFormat="1" applyFont="1" applyFill="1" applyBorder="1" applyAlignment="1">
      <alignment horizontal="left" vertical="center"/>
    </xf>
    <xf numFmtId="2" fontId="32" fillId="28" borderId="19" xfId="0" applyNumberFormat="1" applyFont="1" applyFill="1" applyBorder="1" applyAlignment="1">
      <alignment horizontal="left" vertical="center"/>
    </xf>
    <xf numFmtId="2" fontId="33" fillId="24" borderId="12" xfId="0" applyNumberFormat="1" applyFont="1" applyFill="1" applyBorder="1" applyAlignment="1">
      <alignment horizontal="left" vertical="center"/>
    </xf>
    <xf numFmtId="2" fontId="33" fillId="24" borderId="0" xfId="0" applyNumberFormat="1" applyFont="1" applyFill="1" applyAlignment="1">
      <alignment horizontal="left" vertical="center"/>
    </xf>
    <xf numFmtId="2" fontId="33" fillId="24" borderId="0" xfId="45" applyNumberFormat="1" applyFont="1" applyFill="1" applyAlignment="1">
      <alignment horizontal="left" vertical="center"/>
    </xf>
    <xf numFmtId="2" fontId="33" fillId="24" borderId="0" xfId="0" applyNumberFormat="1" applyFont="1" applyFill="1" applyAlignment="1">
      <alignment horizontal="center" vertical="center"/>
    </xf>
  </cellXfs>
  <cellStyles count="71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 2" xfId="46" xr:uid="{00000000-0005-0000-0000-00001B000000}"/>
    <cellStyle name="Comma 2 2" xfId="48" xr:uid="{00000000-0005-0000-0000-00001C000000}"/>
    <cellStyle name="Currency" xfId="56" builtinId="4"/>
    <cellStyle name="Currency 2" xfId="50" xr:uid="{00000000-0005-0000-0000-00001E000000}"/>
    <cellStyle name="Currency 3" xfId="55" xr:uid="{00000000-0005-0000-0000-00001F000000}"/>
    <cellStyle name="Currency 4" xfId="65" xr:uid="{00000000-0005-0000-0000-000020000000}"/>
    <cellStyle name="Currency 5" xfId="67" xr:uid="{00000000-0005-0000-0000-000021000000}"/>
    <cellStyle name="Currency 6" xfId="70" xr:uid="{00000000-0005-0000-0000-000022000000}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54" builtinId="8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44" xr:uid="{00000000-0005-0000-0000-00002E000000}"/>
    <cellStyle name="Normal 2 2" xfId="47" xr:uid="{00000000-0005-0000-0000-00002F000000}"/>
    <cellStyle name="Normal 2 2 2" xfId="60" xr:uid="{00000000-0005-0000-0000-000030000000}"/>
    <cellStyle name="Normal 2 2 3" xfId="62" xr:uid="{00000000-0005-0000-0000-000031000000}"/>
    <cellStyle name="Normal 2 3" xfId="45" xr:uid="{00000000-0005-0000-0000-000032000000}"/>
    <cellStyle name="Normal 2 3 2" xfId="52" xr:uid="{00000000-0005-0000-0000-000033000000}"/>
    <cellStyle name="Normal 3" xfId="37" xr:uid="{00000000-0005-0000-0000-000034000000}"/>
    <cellStyle name="Normal 4" xfId="43" xr:uid="{00000000-0005-0000-0000-000035000000}"/>
    <cellStyle name="Normal 4 2" xfId="53" xr:uid="{00000000-0005-0000-0000-000036000000}"/>
    <cellStyle name="Normal 4 3" xfId="51" xr:uid="{00000000-0005-0000-0000-000037000000}"/>
    <cellStyle name="Normal 4 4" xfId="59" xr:uid="{00000000-0005-0000-0000-000038000000}"/>
    <cellStyle name="Normal 5" xfId="49" xr:uid="{00000000-0005-0000-0000-000039000000}"/>
    <cellStyle name="Normal 6" xfId="64" xr:uid="{00000000-0005-0000-0000-00003A000000}"/>
    <cellStyle name="Normal 7" xfId="66" xr:uid="{00000000-0005-0000-0000-00003B000000}"/>
    <cellStyle name="Normal 8" xfId="68" xr:uid="{00000000-0005-0000-0000-00003C000000}"/>
    <cellStyle name="Note" xfId="38" builtinId="10" customBuiltin="1"/>
    <cellStyle name="Output" xfId="39" builtinId="21" customBuiltin="1"/>
    <cellStyle name="Percent" xfId="57" builtinId="5"/>
    <cellStyle name="Percent 2" xfId="58" xr:uid="{00000000-0005-0000-0000-000040000000}"/>
    <cellStyle name="Percent 3" xfId="69" xr:uid="{00000000-0005-0000-0000-000041000000}"/>
    <cellStyle name="Percent 3 2" xfId="61" xr:uid="{00000000-0005-0000-0000-000042000000}"/>
    <cellStyle name="Percent 3 2 2" xfId="63" xr:uid="{00000000-0005-0000-0000-000043000000}"/>
    <cellStyle name="Title" xfId="40" builtinId="15" customBuiltin="1"/>
    <cellStyle name="Total" xfId="41" builtinId="25" customBuiltin="1"/>
    <cellStyle name="Warning Text" xfId="42" builtinId="11" customBuiltin="1"/>
  </cellStyles>
  <dxfs count="0"/>
  <tableStyles count="0" defaultTableStyle="TableStyleMedium9" defaultPivotStyle="PivotStyleLight16"/>
  <colors>
    <mruColors>
      <color rgb="FFF55D61"/>
      <color rgb="FFFED2DC"/>
      <color rgb="FFD5D5D5"/>
      <color rgb="FFB94517"/>
      <color rgb="FFFE9494"/>
      <color rgb="FFF3F3F3"/>
      <color rgb="FFF50101"/>
      <color rgb="FFCE2008"/>
      <color rgb="FFFF512C"/>
      <color rgb="FFDE796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322478</xdr:colOff>
      <xdr:row>1</xdr:row>
      <xdr:rowOff>29882</xdr:rowOff>
    </xdr:from>
    <xdr:to>
      <xdr:col>12</xdr:col>
      <xdr:colOff>1342836</xdr:colOff>
      <xdr:row>4</xdr:row>
      <xdr:rowOff>100329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9C5E402-8164-40A2-81AA-82A40DE464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79537" y="231588"/>
          <a:ext cx="2017681" cy="6755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tabColor rgb="FFFFC000"/>
    <pageSetUpPr fitToPage="1"/>
  </sheetPr>
  <dimension ref="A1:BM968"/>
  <sheetViews>
    <sheetView showGridLines="0" tabSelected="1" view="pageBreakPreview" topLeftCell="A956" zoomScale="70" zoomScaleNormal="80" zoomScaleSheetLayoutView="70" zoomScalePageLayoutView="70" workbookViewId="0">
      <selection activeCell="E974" sqref="E974"/>
    </sheetView>
  </sheetViews>
  <sheetFormatPr defaultColWidth="9.6640625" defaultRowHeight="15.75" x14ac:dyDescent="0.2"/>
  <cols>
    <col min="1" max="1" width="15.77734375" style="2" customWidth="1"/>
    <col min="2" max="2" width="9.33203125" style="10" bestFit="1" customWidth="1"/>
    <col min="3" max="3" width="16.33203125" style="3" customWidth="1"/>
    <col min="4" max="4" width="7.6640625" style="3" bestFit="1" customWidth="1"/>
    <col min="5" max="5" width="60" style="7" bestFit="1" customWidth="1"/>
    <col min="6" max="6" width="7.6640625" style="9" bestFit="1" customWidth="1"/>
    <col min="7" max="7" width="8.109375" style="4" customWidth="1"/>
    <col min="8" max="8" width="7.88671875" style="4" customWidth="1"/>
    <col min="9" max="9" width="7.109375" style="3" customWidth="1"/>
    <col min="10" max="10" width="24.5546875" style="11" bestFit="1" customWidth="1"/>
    <col min="11" max="11" width="11.44140625" style="5" customWidth="1"/>
    <col min="12" max="12" width="11.6640625" style="8" customWidth="1"/>
    <col min="13" max="13" width="25.33203125" style="8" bestFit="1" customWidth="1"/>
    <col min="14" max="65" width="9.6640625" style="8"/>
    <col min="66" max="16384" width="9.6640625" style="1"/>
  </cols>
  <sheetData>
    <row r="1" spans="1:65" s="17" customFormat="1" x14ac:dyDescent="0.2">
      <c r="A1" s="155" t="s">
        <v>6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7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0"/>
      <c r="BF1" s="20"/>
      <c r="BG1" s="20"/>
      <c r="BH1" s="20"/>
      <c r="BI1" s="20"/>
      <c r="BJ1" s="20"/>
      <c r="BK1" s="20"/>
      <c r="BL1" s="20"/>
      <c r="BM1" s="20"/>
    </row>
    <row r="2" spans="1:65" x14ac:dyDescent="0.2">
      <c r="A2" s="158" t="s">
        <v>7</v>
      </c>
      <c r="B2" s="159"/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44"/>
    </row>
    <row r="3" spans="1:65" x14ac:dyDescent="0.2">
      <c r="A3" s="104" t="s">
        <v>8</v>
      </c>
      <c r="B3" s="138"/>
      <c r="C3" s="139">
        <v>45042</v>
      </c>
      <c r="D3" s="139"/>
      <c r="E3" s="140"/>
      <c r="F3" s="160" t="s">
        <v>416</v>
      </c>
      <c r="G3" s="160"/>
      <c r="H3" s="160"/>
      <c r="I3" s="160"/>
      <c r="J3" s="160"/>
      <c r="K3" s="160"/>
      <c r="L3" s="160"/>
      <c r="M3" s="144"/>
    </row>
    <row r="4" spans="1:65" x14ac:dyDescent="0.2">
      <c r="A4" s="104" t="s">
        <v>9</v>
      </c>
      <c r="B4" s="138"/>
      <c r="C4" s="139">
        <v>44790</v>
      </c>
      <c r="D4" s="139"/>
      <c r="E4" s="141"/>
      <c r="F4" s="160" t="s">
        <v>474</v>
      </c>
      <c r="G4" s="160"/>
      <c r="H4" s="160"/>
      <c r="I4" s="160"/>
      <c r="J4" s="160"/>
      <c r="K4" s="160"/>
      <c r="L4" s="160"/>
      <c r="M4" s="144"/>
    </row>
    <row r="5" spans="1:65" ht="16.5" thickBot="1" x14ac:dyDescent="0.25">
      <c r="A5" s="104" t="s">
        <v>2</v>
      </c>
      <c r="B5" s="138"/>
      <c r="C5" s="105">
        <f>L$968</f>
        <v>0</v>
      </c>
      <c r="D5" s="105"/>
      <c r="E5" s="141"/>
      <c r="F5" s="161"/>
      <c r="G5" s="161"/>
      <c r="H5" s="161"/>
      <c r="I5" s="161"/>
      <c r="J5" s="161"/>
      <c r="K5" s="161"/>
      <c r="L5" s="142"/>
      <c r="M5" s="144"/>
    </row>
    <row r="6" spans="1:65" s="18" customFormat="1" ht="32.25" thickBot="1" x14ac:dyDescent="0.25">
      <c r="A6" s="25" t="s">
        <v>10</v>
      </c>
      <c r="B6" s="26" t="s">
        <v>14</v>
      </c>
      <c r="C6" s="26" t="s">
        <v>15</v>
      </c>
      <c r="D6" s="26" t="s">
        <v>17</v>
      </c>
      <c r="E6" s="26" t="s">
        <v>1</v>
      </c>
      <c r="F6" s="26" t="s">
        <v>35</v>
      </c>
      <c r="G6" s="26" t="s">
        <v>3</v>
      </c>
      <c r="H6" s="26" t="s">
        <v>4</v>
      </c>
      <c r="I6" s="26" t="s">
        <v>0</v>
      </c>
      <c r="J6" s="27" t="s">
        <v>63</v>
      </c>
      <c r="K6" s="28" t="s">
        <v>5</v>
      </c>
      <c r="L6" s="145" t="s">
        <v>11</v>
      </c>
      <c r="M6" s="146" t="s">
        <v>475</v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21"/>
      <c r="BG6" s="21"/>
      <c r="BH6" s="21"/>
      <c r="BI6" s="21"/>
      <c r="BJ6" s="21"/>
      <c r="BK6" s="21"/>
      <c r="BL6" s="21"/>
      <c r="BM6" s="21"/>
    </row>
    <row r="7" spans="1:65" s="6" customFormat="1" x14ac:dyDescent="0.2">
      <c r="A7" s="29" t="str">
        <f>IF(F7&lt;&gt;"",1+MAX(#REF!),"")</f>
        <v/>
      </c>
      <c r="B7" s="30"/>
      <c r="C7" s="31"/>
      <c r="D7" s="31" t="s">
        <v>42</v>
      </c>
      <c r="E7" s="32" t="s">
        <v>43</v>
      </c>
      <c r="F7" s="33"/>
      <c r="G7" s="34"/>
      <c r="H7" s="34"/>
      <c r="I7" s="34"/>
      <c r="J7" s="35"/>
      <c r="K7" s="34"/>
      <c r="L7" s="143"/>
      <c r="M7" s="149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2"/>
      <c r="BH7" s="22"/>
      <c r="BI7" s="22"/>
      <c r="BJ7" s="22"/>
      <c r="BK7" s="22"/>
      <c r="BL7" s="22"/>
      <c r="BM7" s="22"/>
    </row>
    <row r="8" spans="1:65" s="13" customFormat="1" x14ac:dyDescent="0.2">
      <c r="A8" s="36" t="str">
        <f>IF(F8&lt;&gt;"",1+MAX(#REF!),"")</f>
        <v/>
      </c>
      <c r="B8" s="37"/>
      <c r="C8" s="38"/>
      <c r="D8" s="39"/>
      <c r="E8" s="39" t="s">
        <v>43</v>
      </c>
      <c r="F8" s="40"/>
      <c r="G8" s="40"/>
      <c r="H8" s="41"/>
      <c r="I8" s="37"/>
      <c r="J8" s="42"/>
      <c r="K8" s="43"/>
      <c r="L8" s="43"/>
      <c r="M8" s="150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</row>
    <row r="9" spans="1:65" s="13" customFormat="1" ht="157.5" x14ac:dyDescent="0.2">
      <c r="A9" s="36">
        <f>IF(F9&lt;&gt;"",1+MAX($A$1:A8),"")</f>
        <v>1</v>
      </c>
      <c r="B9" s="44"/>
      <c r="C9" s="38"/>
      <c r="D9" s="45"/>
      <c r="E9" s="46" t="s">
        <v>44</v>
      </c>
      <c r="F9" s="47">
        <v>1</v>
      </c>
      <c r="G9" s="48">
        <v>0</v>
      </c>
      <c r="H9" s="49">
        <f t="shared" ref="H9:H10" si="0">F9*(1+G9)</f>
        <v>1</v>
      </c>
      <c r="I9" s="38" t="s">
        <v>45</v>
      </c>
      <c r="J9" s="50">
        <v>0</v>
      </c>
      <c r="K9" s="51">
        <f t="shared" ref="K9:K10" si="1">J9*H9</f>
        <v>0</v>
      </c>
      <c r="L9" s="43"/>
      <c r="M9" s="150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</row>
    <row r="10" spans="1:65" s="13" customFormat="1" x14ac:dyDescent="0.2">
      <c r="A10" s="36">
        <f>IF(F10&lt;&gt;"",1+MAX($A$1:A9),"")</f>
        <v>2</v>
      </c>
      <c r="B10" s="44"/>
      <c r="C10" s="38"/>
      <c r="D10" s="45"/>
      <c r="E10" s="24" t="s">
        <v>47</v>
      </c>
      <c r="F10" s="52">
        <v>11723</v>
      </c>
      <c r="G10" s="48">
        <v>0.1</v>
      </c>
      <c r="H10" s="49">
        <f t="shared" si="0"/>
        <v>12895.300000000001</v>
      </c>
      <c r="I10" s="38" t="s">
        <v>16</v>
      </c>
      <c r="J10" s="53">
        <v>0</v>
      </c>
      <c r="K10" s="51">
        <f t="shared" si="1"/>
        <v>0</v>
      </c>
      <c r="L10" s="43"/>
      <c r="M10" s="150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</row>
    <row r="11" spans="1:65" s="13" customFormat="1" x14ac:dyDescent="0.2">
      <c r="A11" s="36" t="str">
        <f>IF(F11&lt;&gt;"",1+MAX($A$1:A10),"")</f>
        <v/>
      </c>
      <c r="B11" s="38"/>
      <c r="C11" s="38"/>
      <c r="D11" s="44"/>
      <c r="E11" s="40"/>
      <c r="F11" s="41"/>
      <c r="G11" s="54"/>
      <c r="H11" s="41"/>
      <c r="I11" s="37"/>
      <c r="J11" s="51"/>
      <c r="K11" s="51"/>
      <c r="L11" s="51"/>
      <c r="M11" s="150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</row>
    <row r="12" spans="1:65" s="13" customFormat="1" x14ac:dyDescent="0.2">
      <c r="A12" s="36" t="str">
        <f>IF(F12&lt;&gt;"",1+MAX($A$1:A11),"")</f>
        <v/>
      </c>
      <c r="B12" s="38"/>
      <c r="C12" s="38"/>
      <c r="D12" s="44"/>
      <c r="E12" s="55" t="s">
        <v>46</v>
      </c>
      <c r="F12" s="52"/>
      <c r="G12" s="54"/>
      <c r="H12" s="41"/>
      <c r="I12" s="37"/>
      <c r="J12" s="51"/>
      <c r="K12" s="56"/>
      <c r="L12" s="56">
        <f>SUM(K8:K11)</f>
        <v>0</v>
      </c>
      <c r="M12" s="150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</row>
    <row r="13" spans="1:65" s="13" customFormat="1" x14ac:dyDescent="0.2">
      <c r="A13" s="36" t="str">
        <f>IF(F13&lt;&gt;"",1+MAX($A$1:A12),"")</f>
        <v/>
      </c>
      <c r="B13" s="38"/>
      <c r="C13" s="38"/>
      <c r="D13" s="44"/>
      <c r="E13" s="57"/>
      <c r="F13" s="52"/>
      <c r="G13" s="54"/>
      <c r="H13" s="41"/>
      <c r="I13" s="37"/>
      <c r="J13" s="51"/>
      <c r="K13" s="56"/>
      <c r="L13" s="70"/>
      <c r="M13" s="150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</row>
    <row r="14" spans="1:65" s="6" customFormat="1" x14ac:dyDescent="0.2">
      <c r="A14" s="36" t="str">
        <f>IF(F14&lt;&gt;"",1+MAX($A$1:A13),"")</f>
        <v/>
      </c>
      <c r="B14" s="58"/>
      <c r="C14" s="59"/>
      <c r="D14" s="59" t="s">
        <v>262</v>
      </c>
      <c r="E14" s="60" t="s">
        <v>263</v>
      </c>
      <c r="F14" s="47"/>
      <c r="G14" s="40"/>
      <c r="H14" s="40"/>
      <c r="I14" s="40"/>
      <c r="J14" s="61"/>
      <c r="K14" s="40"/>
      <c r="L14" s="70"/>
      <c r="M14" s="151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22"/>
      <c r="BA14" s="22"/>
      <c r="BB14" s="22"/>
      <c r="BC14" s="22"/>
      <c r="BD14" s="22"/>
      <c r="BE14" s="22"/>
      <c r="BF14" s="22"/>
      <c r="BG14" s="22"/>
      <c r="BH14" s="22"/>
      <c r="BI14" s="22"/>
      <c r="BJ14" s="22"/>
      <c r="BK14" s="22"/>
      <c r="BL14" s="22"/>
      <c r="BM14" s="22"/>
    </row>
    <row r="15" spans="1:65" s="13" customFormat="1" x14ac:dyDescent="0.2">
      <c r="A15" s="36" t="str">
        <f>IF(F15&lt;&gt;"",1+MAX($A$1:A14),"")</f>
        <v/>
      </c>
      <c r="B15" s="37"/>
      <c r="C15" s="38"/>
      <c r="D15" s="39"/>
      <c r="E15" s="39" t="s">
        <v>264</v>
      </c>
      <c r="F15" s="40"/>
      <c r="G15" s="40"/>
      <c r="H15" s="41"/>
      <c r="I15" s="37"/>
      <c r="J15" s="42"/>
      <c r="K15" s="43"/>
      <c r="L15" s="43"/>
      <c r="M15" s="150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</row>
    <row r="16" spans="1:65" s="16" customFormat="1" x14ac:dyDescent="0.2">
      <c r="A16" s="36" t="str">
        <f>IF(F16&lt;&gt;"",1+MAX($A$1:A15),"")</f>
        <v/>
      </c>
      <c r="B16" s="62"/>
      <c r="C16" s="63"/>
      <c r="D16" s="64"/>
      <c r="E16" s="65" t="s">
        <v>265</v>
      </c>
      <c r="F16" s="66"/>
      <c r="G16" s="67"/>
      <c r="H16" s="68"/>
      <c r="I16" s="62"/>
      <c r="J16" s="69"/>
      <c r="K16" s="70"/>
      <c r="L16" s="70"/>
      <c r="M16" s="152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  <c r="BD16" s="23"/>
      <c r="BE16" s="23"/>
      <c r="BF16" s="23"/>
      <c r="BG16" s="23"/>
      <c r="BH16" s="23"/>
      <c r="BI16" s="23"/>
      <c r="BJ16" s="23"/>
      <c r="BK16" s="23"/>
      <c r="BL16" s="23"/>
      <c r="BM16" s="23"/>
    </row>
    <row r="17" spans="1:13" s="13" customFormat="1" ht="78.75" x14ac:dyDescent="0.2">
      <c r="A17" s="36" t="str">
        <f>IF(F17&lt;&gt;"",1+MAX($A$1:A16),"")</f>
        <v/>
      </c>
      <c r="B17" s="37"/>
      <c r="C17" s="64"/>
      <c r="D17" s="64"/>
      <c r="E17" s="65" t="s">
        <v>266</v>
      </c>
      <c r="F17" s="52"/>
      <c r="G17" s="54"/>
      <c r="H17" s="41"/>
      <c r="I17" s="37"/>
      <c r="J17" s="53"/>
      <c r="K17" s="51"/>
      <c r="L17" s="43"/>
      <c r="M17" s="150"/>
    </row>
    <row r="18" spans="1:13" s="13" customFormat="1" x14ac:dyDescent="0.2">
      <c r="A18" s="36">
        <f>IF(F18&lt;&gt;"",1+MAX($A$1:A17),"")</f>
        <v>3</v>
      </c>
      <c r="B18" s="37" t="s">
        <v>267</v>
      </c>
      <c r="C18" s="64" t="s">
        <v>268</v>
      </c>
      <c r="D18" s="71"/>
      <c r="E18" s="46" t="s">
        <v>258</v>
      </c>
      <c r="F18" s="52">
        <f>3.5*3.5*1.67*1/27</f>
        <v>0.75768518518518513</v>
      </c>
      <c r="G18" s="48">
        <v>0.1</v>
      </c>
      <c r="H18" s="41">
        <f t="shared" ref="H18:H22" si="2">F18*(1+G18)</f>
        <v>0.83345370370370375</v>
      </c>
      <c r="I18" s="37" t="s">
        <v>257</v>
      </c>
      <c r="J18" s="53">
        <v>0</v>
      </c>
      <c r="K18" s="51">
        <f t="shared" ref="K18:K22" si="3">J18*H18</f>
        <v>0</v>
      </c>
      <c r="L18" s="43"/>
      <c r="M18" s="150"/>
    </row>
    <row r="19" spans="1:13" s="13" customFormat="1" x14ac:dyDescent="0.2">
      <c r="A19" s="36">
        <f>IF(F19&lt;&gt;"",1+MAX($A$1:A18),"")</f>
        <v>4</v>
      </c>
      <c r="B19" s="37" t="s">
        <v>267</v>
      </c>
      <c r="C19" s="64" t="s">
        <v>268</v>
      </c>
      <c r="D19" s="64"/>
      <c r="E19" s="46" t="s">
        <v>269</v>
      </c>
      <c r="F19" s="52">
        <f>4*3.5*1.67*1</f>
        <v>23.38</v>
      </c>
      <c r="G19" s="48">
        <v>0.1</v>
      </c>
      <c r="H19" s="41">
        <f t="shared" si="2"/>
        <v>25.718</v>
      </c>
      <c r="I19" s="37" t="s">
        <v>259</v>
      </c>
      <c r="J19" s="53">
        <v>0</v>
      </c>
      <c r="K19" s="51">
        <f t="shared" si="3"/>
        <v>0</v>
      </c>
      <c r="L19" s="43"/>
      <c r="M19" s="150"/>
    </row>
    <row r="20" spans="1:13" s="13" customFormat="1" x14ac:dyDescent="0.2">
      <c r="A20" s="36">
        <f>IF(F20&lt;&gt;"",1+MAX($A$1:A19),"")</f>
        <v>5</v>
      </c>
      <c r="B20" s="37" t="s">
        <v>267</v>
      </c>
      <c r="C20" s="64" t="s">
        <v>268</v>
      </c>
      <c r="D20" s="64"/>
      <c r="E20" s="46" t="s">
        <v>260</v>
      </c>
      <c r="F20" s="52">
        <f>4.5*4.5*5*1/27</f>
        <v>3.75</v>
      </c>
      <c r="G20" s="48">
        <v>0.1</v>
      </c>
      <c r="H20" s="41">
        <f t="shared" si="2"/>
        <v>4.125</v>
      </c>
      <c r="I20" s="37" t="s">
        <v>257</v>
      </c>
      <c r="J20" s="53">
        <v>0</v>
      </c>
      <c r="K20" s="51">
        <f t="shared" si="3"/>
        <v>0</v>
      </c>
      <c r="L20" s="43"/>
      <c r="M20" s="150"/>
    </row>
    <row r="21" spans="1:13" s="13" customFormat="1" x14ac:dyDescent="0.2">
      <c r="A21" s="36">
        <f>IF(F21&lt;&gt;"",1+MAX($A$1:A20),"")</f>
        <v>6</v>
      </c>
      <c r="B21" s="37" t="s">
        <v>267</v>
      </c>
      <c r="C21" s="64" t="s">
        <v>268</v>
      </c>
      <c r="D21" s="64"/>
      <c r="E21" s="46" t="s">
        <v>261</v>
      </c>
      <c r="F21" s="52">
        <f>F20-F18-2*2*2*1/27</f>
        <v>2.6960185185185188</v>
      </c>
      <c r="G21" s="48">
        <v>0.1</v>
      </c>
      <c r="H21" s="41">
        <f t="shared" si="2"/>
        <v>2.9656203703703707</v>
      </c>
      <c r="I21" s="37" t="s">
        <v>257</v>
      </c>
      <c r="J21" s="53">
        <v>0</v>
      </c>
      <c r="K21" s="51">
        <f t="shared" si="3"/>
        <v>0</v>
      </c>
      <c r="L21" s="43"/>
      <c r="M21" s="150"/>
    </row>
    <row r="22" spans="1:13" s="13" customFormat="1" x14ac:dyDescent="0.2">
      <c r="A22" s="36">
        <f>IF(F22&lt;&gt;"",1+MAX($A$1:A21),"")</f>
        <v>7</v>
      </c>
      <c r="B22" s="37" t="s">
        <v>267</v>
      </c>
      <c r="C22" s="64" t="s">
        <v>268</v>
      </c>
      <c r="D22" s="64"/>
      <c r="E22" s="46" t="s">
        <v>270</v>
      </c>
      <c r="F22" s="52">
        <f>8*5.25*0.668*1.2*2*1</f>
        <v>67.334400000000002</v>
      </c>
      <c r="G22" s="48">
        <v>0.1</v>
      </c>
      <c r="H22" s="41">
        <f t="shared" si="2"/>
        <v>74.067840000000004</v>
      </c>
      <c r="I22" s="37" t="s">
        <v>271</v>
      </c>
      <c r="J22" s="53">
        <v>0</v>
      </c>
      <c r="K22" s="51">
        <f t="shared" si="3"/>
        <v>0</v>
      </c>
      <c r="L22" s="43"/>
      <c r="M22" s="150"/>
    </row>
    <row r="23" spans="1:13" s="13" customFormat="1" ht="78.75" x14ac:dyDescent="0.2">
      <c r="A23" s="36" t="str">
        <f>IF(F23&lt;&gt;"",1+MAX($A$1:A22),"")</f>
        <v/>
      </c>
      <c r="B23" s="37"/>
      <c r="C23" s="64"/>
      <c r="D23" s="64"/>
      <c r="E23" s="65" t="s">
        <v>272</v>
      </c>
      <c r="F23" s="52"/>
      <c r="G23" s="54"/>
      <c r="H23" s="41"/>
      <c r="I23" s="37"/>
      <c r="J23" s="53"/>
      <c r="K23" s="51"/>
      <c r="L23" s="43"/>
      <c r="M23" s="150"/>
    </row>
    <row r="24" spans="1:13" s="13" customFormat="1" x14ac:dyDescent="0.2">
      <c r="A24" s="36">
        <f>IF(F24&lt;&gt;"",1+MAX($A$1:A23),"")</f>
        <v>8</v>
      </c>
      <c r="B24" s="37" t="s">
        <v>267</v>
      </c>
      <c r="C24" s="64" t="s">
        <v>268</v>
      </c>
      <c r="D24" s="71"/>
      <c r="E24" s="46" t="s">
        <v>258</v>
      </c>
      <c r="F24" s="52">
        <f>3.5*3.5*1.67*1/27</f>
        <v>0.75768518518518513</v>
      </c>
      <c r="G24" s="48">
        <v>0.1</v>
      </c>
      <c r="H24" s="41">
        <f t="shared" ref="H24:H29" si="4">F24*(1+G24)</f>
        <v>0.83345370370370375</v>
      </c>
      <c r="I24" s="37" t="s">
        <v>257</v>
      </c>
      <c r="J24" s="53">
        <f>J$18</f>
        <v>0</v>
      </c>
      <c r="K24" s="51">
        <f t="shared" ref="K24:K29" si="5">J24*H24</f>
        <v>0</v>
      </c>
      <c r="L24" s="43"/>
      <c r="M24" s="150"/>
    </row>
    <row r="25" spans="1:13" s="13" customFormat="1" x14ac:dyDescent="0.2">
      <c r="A25" s="36">
        <f>IF(F25&lt;&gt;"",1+MAX($A$1:A24),"")</f>
        <v>9</v>
      </c>
      <c r="B25" s="37" t="s">
        <v>267</v>
      </c>
      <c r="C25" s="64" t="s">
        <v>268</v>
      </c>
      <c r="D25" s="64"/>
      <c r="E25" s="46" t="s">
        <v>269</v>
      </c>
      <c r="F25" s="52">
        <f>4*3.5*1.67*1</f>
        <v>23.38</v>
      </c>
      <c r="G25" s="48">
        <v>0.1</v>
      </c>
      <c r="H25" s="41">
        <f t="shared" si="4"/>
        <v>25.718</v>
      </c>
      <c r="I25" s="37" t="s">
        <v>259</v>
      </c>
      <c r="J25" s="53">
        <f>J$19</f>
        <v>0</v>
      </c>
      <c r="K25" s="51">
        <f t="shared" si="5"/>
        <v>0</v>
      </c>
      <c r="L25" s="43"/>
      <c r="M25" s="150"/>
    </row>
    <row r="26" spans="1:13" s="13" customFormat="1" x14ac:dyDescent="0.2">
      <c r="A26" s="36">
        <f>IF(F26&lt;&gt;"",1+MAX($A$1:A25),"")</f>
        <v>10</v>
      </c>
      <c r="B26" s="37" t="s">
        <v>267</v>
      </c>
      <c r="C26" s="64" t="s">
        <v>268</v>
      </c>
      <c r="D26" s="64"/>
      <c r="E26" s="46" t="s">
        <v>380</v>
      </c>
      <c r="F26" s="52">
        <f>4.5*4*6.67</f>
        <v>120.06</v>
      </c>
      <c r="G26" s="48">
        <v>0.1</v>
      </c>
      <c r="H26" s="41">
        <f t="shared" si="4"/>
        <v>132.066</v>
      </c>
      <c r="I26" s="37" t="s">
        <v>16</v>
      </c>
      <c r="J26" s="53">
        <v>0</v>
      </c>
      <c r="K26" s="51">
        <f t="shared" si="5"/>
        <v>0</v>
      </c>
      <c r="L26" s="43"/>
      <c r="M26" s="150"/>
    </row>
    <row r="27" spans="1:13" s="13" customFormat="1" x14ac:dyDescent="0.2">
      <c r="A27" s="36">
        <f>IF(F27&lt;&gt;"",1+MAX($A$1:A26),"")</f>
        <v>11</v>
      </c>
      <c r="B27" s="37" t="s">
        <v>267</v>
      </c>
      <c r="C27" s="64" t="s">
        <v>268</v>
      </c>
      <c r="D27" s="64"/>
      <c r="E27" s="46" t="s">
        <v>260</v>
      </c>
      <c r="F27" s="52">
        <f>4.5*4.5*6.67*1/27</f>
        <v>5.0024999999999995</v>
      </c>
      <c r="G27" s="48">
        <v>0.1</v>
      </c>
      <c r="H27" s="41">
        <f t="shared" si="4"/>
        <v>5.5027499999999998</v>
      </c>
      <c r="I27" s="37" t="s">
        <v>257</v>
      </c>
      <c r="J27" s="53">
        <f>J$20</f>
        <v>0</v>
      </c>
      <c r="K27" s="51">
        <f t="shared" si="5"/>
        <v>0</v>
      </c>
      <c r="L27" s="43"/>
      <c r="M27" s="150"/>
    </row>
    <row r="28" spans="1:13" s="13" customFormat="1" x14ac:dyDescent="0.2">
      <c r="A28" s="36">
        <f>IF(F28&lt;&gt;"",1+MAX($A$1:A27),"")</f>
        <v>12</v>
      </c>
      <c r="B28" s="37" t="s">
        <v>267</v>
      </c>
      <c r="C28" s="64" t="s">
        <v>268</v>
      </c>
      <c r="D28" s="64"/>
      <c r="E28" s="46" t="s">
        <v>261</v>
      </c>
      <c r="F28" s="52">
        <f>F27-F24-2*2*3.66*1/27</f>
        <v>3.7025925925925924</v>
      </c>
      <c r="G28" s="48">
        <v>0.1</v>
      </c>
      <c r="H28" s="41">
        <f t="shared" si="4"/>
        <v>4.0728518518518522</v>
      </c>
      <c r="I28" s="37" t="s">
        <v>257</v>
      </c>
      <c r="J28" s="53">
        <f>J$21</f>
        <v>0</v>
      </c>
      <c r="K28" s="51">
        <f t="shared" si="5"/>
        <v>0</v>
      </c>
      <c r="L28" s="43"/>
      <c r="M28" s="150"/>
    </row>
    <row r="29" spans="1:13" s="13" customFormat="1" x14ac:dyDescent="0.2">
      <c r="A29" s="36">
        <f>IF(F29&lt;&gt;"",1+MAX($A$1:A28),"")</f>
        <v>13</v>
      </c>
      <c r="B29" s="37" t="s">
        <v>267</v>
      </c>
      <c r="C29" s="64" t="s">
        <v>268</v>
      </c>
      <c r="D29" s="64"/>
      <c r="E29" s="46" t="s">
        <v>270</v>
      </c>
      <c r="F29" s="52">
        <f>8*5.25*0.668*1.2*2*1</f>
        <v>67.334400000000002</v>
      </c>
      <c r="G29" s="48">
        <v>0.1</v>
      </c>
      <c r="H29" s="41">
        <f t="shared" si="4"/>
        <v>74.067840000000004</v>
      </c>
      <c r="I29" s="37" t="s">
        <v>271</v>
      </c>
      <c r="J29" s="53">
        <f>J$22</f>
        <v>0</v>
      </c>
      <c r="K29" s="51">
        <f t="shared" si="5"/>
        <v>0</v>
      </c>
      <c r="L29" s="43"/>
      <c r="M29" s="150"/>
    </row>
    <row r="30" spans="1:13" s="13" customFormat="1" ht="78.75" x14ac:dyDescent="0.2">
      <c r="A30" s="36" t="str">
        <f>IF(F30&lt;&gt;"",1+MAX($A$1:A29),"")</f>
        <v/>
      </c>
      <c r="B30" s="37"/>
      <c r="C30" s="64"/>
      <c r="D30" s="64"/>
      <c r="E30" s="65" t="s">
        <v>273</v>
      </c>
      <c r="F30" s="52"/>
      <c r="G30" s="54"/>
      <c r="H30" s="41"/>
      <c r="I30" s="37"/>
      <c r="J30" s="53"/>
      <c r="K30" s="51"/>
      <c r="L30" s="43"/>
      <c r="M30" s="150"/>
    </row>
    <row r="31" spans="1:13" s="13" customFormat="1" x14ac:dyDescent="0.2">
      <c r="A31" s="36">
        <f>IF(F31&lt;&gt;"",1+MAX($A$1:A30),"")</f>
        <v>14</v>
      </c>
      <c r="B31" s="37" t="s">
        <v>267</v>
      </c>
      <c r="C31" s="64" t="s">
        <v>274</v>
      </c>
      <c r="D31" s="71"/>
      <c r="E31" s="46" t="s">
        <v>258</v>
      </c>
      <c r="F31" s="52">
        <f>5*5*2*1/27</f>
        <v>1.8518518518518519</v>
      </c>
      <c r="G31" s="48">
        <v>0.1</v>
      </c>
      <c r="H31" s="41">
        <f t="shared" ref="H31:H35" si="6">F31*(1+G31)</f>
        <v>2.0370370370370372</v>
      </c>
      <c r="I31" s="37" t="s">
        <v>257</v>
      </c>
      <c r="J31" s="53">
        <f>J$18</f>
        <v>0</v>
      </c>
      <c r="K31" s="51">
        <f t="shared" ref="K31:K35" si="7">J31*H31</f>
        <v>0</v>
      </c>
      <c r="L31" s="43"/>
      <c r="M31" s="150"/>
    </row>
    <row r="32" spans="1:13" s="13" customFormat="1" x14ac:dyDescent="0.2">
      <c r="A32" s="36">
        <f>IF(F32&lt;&gt;"",1+MAX($A$1:A31),"")</f>
        <v>15</v>
      </c>
      <c r="B32" s="37" t="s">
        <v>267</v>
      </c>
      <c r="C32" s="64" t="s">
        <v>274</v>
      </c>
      <c r="D32" s="64"/>
      <c r="E32" s="46" t="s">
        <v>269</v>
      </c>
      <c r="F32" s="52">
        <f>4*5*2*1</f>
        <v>40</v>
      </c>
      <c r="G32" s="48">
        <v>0.1</v>
      </c>
      <c r="H32" s="41">
        <f t="shared" si="6"/>
        <v>44</v>
      </c>
      <c r="I32" s="37" t="s">
        <v>259</v>
      </c>
      <c r="J32" s="53">
        <f>J$19</f>
        <v>0</v>
      </c>
      <c r="K32" s="51">
        <f t="shared" si="7"/>
        <v>0</v>
      </c>
      <c r="L32" s="43"/>
      <c r="M32" s="150"/>
    </row>
    <row r="33" spans="1:13" s="13" customFormat="1" x14ac:dyDescent="0.2">
      <c r="A33" s="36">
        <f>IF(F33&lt;&gt;"",1+MAX($A$1:A32),"")</f>
        <v>16</v>
      </c>
      <c r="B33" s="37" t="s">
        <v>267</v>
      </c>
      <c r="C33" s="64" t="s">
        <v>274</v>
      </c>
      <c r="D33" s="64"/>
      <c r="E33" s="46" t="s">
        <v>260</v>
      </c>
      <c r="F33" s="52">
        <f>6*6*5*1/27</f>
        <v>6.666666666666667</v>
      </c>
      <c r="G33" s="48">
        <v>0.1</v>
      </c>
      <c r="H33" s="41">
        <f t="shared" si="6"/>
        <v>7.3333333333333339</v>
      </c>
      <c r="I33" s="37" t="s">
        <v>257</v>
      </c>
      <c r="J33" s="53">
        <f>J$20</f>
        <v>0</v>
      </c>
      <c r="K33" s="51">
        <f t="shared" si="7"/>
        <v>0</v>
      </c>
      <c r="L33" s="43"/>
      <c r="M33" s="150"/>
    </row>
    <row r="34" spans="1:13" s="13" customFormat="1" x14ac:dyDescent="0.2">
      <c r="A34" s="36">
        <f>IF(F34&lt;&gt;"",1+MAX($A$1:A33),"")</f>
        <v>17</v>
      </c>
      <c r="B34" s="37" t="s">
        <v>267</v>
      </c>
      <c r="C34" s="64" t="s">
        <v>274</v>
      </c>
      <c r="D34" s="64"/>
      <c r="E34" s="46" t="s">
        <v>261</v>
      </c>
      <c r="F34" s="52">
        <f>F33-F31-2*2*1.66*1/27</f>
        <v>4.568888888888889</v>
      </c>
      <c r="G34" s="48">
        <v>0.1</v>
      </c>
      <c r="H34" s="41">
        <f t="shared" si="6"/>
        <v>5.0257777777777779</v>
      </c>
      <c r="I34" s="37" t="s">
        <v>257</v>
      </c>
      <c r="J34" s="53">
        <f>J$21</f>
        <v>0</v>
      </c>
      <c r="K34" s="51">
        <f t="shared" si="7"/>
        <v>0</v>
      </c>
      <c r="L34" s="43"/>
      <c r="M34" s="150"/>
    </row>
    <row r="35" spans="1:13" s="13" customFormat="1" x14ac:dyDescent="0.2">
      <c r="A35" s="36">
        <f>IF(F35&lt;&gt;"",1+MAX($A$1:A34),"")</f>
        <v>18</v>
      </c>
      <c r="B35" s="37" t="s">
        <v>267</v>
      </c>
      <c r="C35" s="64" t="s">
        <v>274</v>
      </c>
      <c r="D35" s="64"/>
      <c r="E35" s="46" t="s">
        <v>275</v>
      </c>
      <c r="F35" s="52">
        <f>9*7*1.043*1.2*2*1</f>
        <v>157.70159999999996</v>
      </c>
      <c r="G35" s="48">
        <v>0.1</v>
      </c>
      <c r="H35" s="41">
        <f t="shared" si="6"/>
        <v>173.47175999999996</v>
      </c>
      <c r="I35" s="37" t="s">
        <v>271</v>
      </c>
      <c r="J35" s="53">
        <f>J$22</f>
        <v>0</v>
      </c>
      <c r="K35" s="51">
        <f t="shared" si="7"/>
        <v>0</v>
      </c>
      <c r="L35" s="43"/>
      <c r="M35" s="150"/>
    </row>
    <row r="36" spans="1:13" s="13" customFormat="1" ht="78.75" x14ac:dyDescent="0.2">
      <c r="A36" s="36" t="str">
        <f>IF(F36&lt;&gt;"",1+MAX($A$1:A35),"")</f>
        <v/>
      </c>
      <c r="B36" s="37"/>
      <c r="C36" s="64"/>
      <c r="D36" s="64"/>
      <c r="E36" s="65" t="s">
        <v>276</v>
      </c>
      <c r="F36" s="52"/>
      <c r="G36" s="54"/>
      <c r="H36" s="41"/>
      <c r="I36" s="37"/>
      <c r="J36" s="53"/>
      <c r="K36" s="51"/>
      <c r="L36" s="43"/>
      <c r="M36" s="150"/>
    </row>
    <row r="37" spans="1:13" s="13" customFormat="1" x14ac:dyDescent="0.2">
      <c r="A37" s="36">
        <f>IF(F37&lt;&gt;"",1+MAX($A$1:A36),"")</f>
        <v>19</v>
      </c>
      <c r="B37" s="37" t="s">
        <v>267</v>
      </c>
      <c r="C37" s="64" t="s">
        <v>274</v>
      </c>
      <c r="D37" s="71"/>
      <c r="E37" s="46" t="s">
        <v>258</v>
      </c>
      <c r="F37" s="52">
        <f>5*5*2*1*3/27</f>
        <v>5.5555555555555554</v>
      </c>
      <c r="G37" s="48">
        <v>0.1</v>
      </c>
      <c r="H37" s="41">
        <f t="shared" ref="H37:H41" si="8">F37*(1+G37)</f>
        <v>6.1111111111111116</v>
      </c>
      <c r="I37" s="37" t="s">
        <v>257</v>
      </c>
      <c r="J37" s="53">
        <f>J$18</f>
        <v>0</v>
      </c>
      <c r="K37" s="51">
        <f t="shared" ref="K37:K41" si="9">J37*H37</f>
        <v>0</v>
      </c>
      <c r="L37" s="43"/>
      <c r="M37" s="150"/>
    </row>
    <row r="38" spans="1:13" s="13" customFormat="1" x14ac:dyDescent="0.2">
      <c r="A38" s="36">
        <f>IF(F38&lt;&gt;"",1+MAX($A$1:A37),"")</f>
        <v>20</v>
      </c>
      <c r="B38" s="37" t="s">
        <v>267</v>
      </c>
      <c r="C38" s="64" t="s">
        <v>274</v>
      </c>
      <c r="D38" s="64"/>
      <c r="E38" s="46" t="s">
        <v>269</v>
      </c>
      <c r="F38" s="52">
        <f>4*5*2*3</f>
        <v>120</v>
      </c>
      <c r="G38" s="48">
        <v>0.1</v>
      </c>
      <c r="H38" s="41">
        <f t="shared" si="8"/>
        <v>132</v>
      </c>
      <c r="I38" s="37" t="s">
        <v>259</v>
      </c>
      <c r="J38" s="53">
        <f>J$19</f>
        <v>0</v>
      </c>
      <c r="K38" s="51">
        <f t="shared" si="9"/>
        <v>0</v>
      </c>
      <c r="L38" s="43"/>
      <c r="M38" s="150"/>
    </row>
    <row r="39" spans="1:13" s="13" customFormat="1" x14ac:dyDescent="0.2">
      <c r="A39" s="36">
        <f>IF(F39&lt;&gt;"",1+MAX($A$1:A38),"")</f>
        <v>21</v>
      </c>
      <c r="B39" s="37" t="s">
        <v>267</v>
      </c>
      <c r="C39" s="64" t="s">
        <v>274</v>
      </c>
      <c r="D39" s="64"/>
      <c r="E39" s="46" t="s">
        <v>260</v>
      </c>
      <c r="F39" s="52">
        <f>6*6*3.67*3/27</f>
        <v>14.68</v>
      </c>
      <c r="G39" s="48">
        <v>0.1</v>
      </c>
      <c r="H39" s="41">
        <f t="shared" si="8"/>
        <v>16.148</v>
      </c>
      <c r="I39" s="37" t="s">
        <v>257</v>
      </c>
      <c r="J39" s="53">
        <f>J$20</f>
        <v>0</v>
      </c>
      <c r="K39" s="51">
        <f t="shared" si="9"/>
        <v>0</v>
      </c>
      <c r="L39" s="43"/>
      <c r="M39" s="150"/>
    </row>
    <row r="40" spans="1:13" s="13" customFormat="1" x14ac:dyDescent="0.2">
      <c r="A40" s="36">
        <f>IF(F40&lt;&gt;"",1+MAX($A$1:A39),"")</f>
        <v>22</v>
      </c>
      <c r="B40" s="37" t="s">
        <v>267</v>
      </c>
      <c r="C40" s="64" t="s">
        <v>274</v>
      </c>
      <c r="D40" s="64"/>
      <c r="E40" s="46" t="s">
        <v>261</v>
      </c>
      <c r="F40" s="52">
        <f>F39-F37-2*2*1.34*3/27</f>
        <v>8.5288888888888881</v>
      </c>
      <c r="G40" s="48">
        <v>0.1</v>
      </c>
      <c r="H40" s="41">
        <f t="shared" si="8"/>
        <v>9.3817777777777778</v>
      </c>
      <c r="I40" s="37" t="s">
        <v>257</v>
      </c>
      <c r="J40" s="53">
        <f>J$21</f>
        <v>0</v>
      </c>
      <c r="K40" s="51">
        <f t="shared" si="9"/>
        <v>0</v>
      </c>
      <c r="L40" s="43"/>
      <c r="M40" s="150"/>
    </row>
    <row r="41" spans="1:13" s="13" customFormat="1" x14ac:dyDescent="0.2">
      <c r="A41" s="36">
        <f>IF(F41&lt;&gt;"",1+MAX($A$1:A40),"")</f>
        <v>23</v>
      </c>
      <c r="B41" s="37" t="s">
        <v>267</v>
      </c>
      <c r="C41" s="64" t="s">
        <v>274</v>
      </c>
      <c r="D41" s="64"/>
      <c r="E41" s="46" t="s">
        <v>275</v>
      </c>
      <c r="F41" s="52">
        <f>9*7*1.043*1.2*2*3</f>
        <v>473.10479999999984</v>
      </c>
      <c r="G41" s="48">
        <v>0.1</v>
      </c>
      <c r="H41" s="41">
        <f t="shared" si="8"/>
        <v>520.41527999999983</v>
      </c>
      <c r="I41" s="37" t="s">
        <v>271</v>
      </c>
      <c r="J41" s="53">
        <f>J$22</f>
        <v>0</v>
      </c>
      <c r="K41" s="51">
        <f t="shared" si="9"/>
        <v>0</v>
      </c>
      <c r="L41" s="43"/>
      <c r="M41" s="150"/>
    </row>
    <row r="42" spans="1:13" s="13" customFormat="1" x14ac:dyDescent="0.2">
      <c r="A42" s="36" t="str">
        <f>IF(F42&lt;&gt;"",1+MAX($A$1:A41),"")</f>
        <v/>
      </c>
      <c r="B42" s="37"/>
      <c r="C42" s="64"/>
      <c r="D42" s="64"/>
      <c r="E42" s="46"/>
      <c r="F42" s="52"/>
      <c r="G42" s="54"/>
      <c r="H42" s="41"/>
      <c r="I42" s="37"/>
      <c r="J42" s="53"/>
      <c r="K42" s="51"/>
      <c r="L42" s="43"/>
      <c r="M42" s="150"/>
    </row>
    <row r="43" spans="1:13" s="16" customFormat="1" x14ac:dyDescent="0.2">
      <c r="A43" s="36" t="str">
        <f>IF(F43&lt;&gt;"",1+MAX($A$1:A42),"")</f>
        <v/>
      </c>
      <c r="B43" s="62"/>
      <c r="C43" s="63"/>
      <c r="D43" s="63"/>
      <c r="E43" s="65" t="s">
        <v>277</v>
      </c>
      <c r="F43" s="66"/>
      <c r="G43" s="67"/>
      <c r="H43" s="68"/>
      <c r="I43" s="62"/>
      <c r="J43" s="69"/>
      <c r="K43" s="70"/>
      <c r="L43" s="70"/>
      <c r="M43" s="152"/>
    </row>
    <row r="44" spans="1:13" s="13" customFormat="1" ht="78.75" x14ac:dyDescent="0.2">
      <c r="A44" s="36" t="str">
        <f>IF(F44&lt;&gt;"",1+MAX($A$1:A43),"")</f>
        <v/>
      </c>
      <c r="B44" s="37"/>
      <c r="C44" s="64"/>
      <c r="D44" s="64"/>
      <c r="E44" s="65" t="s">
        <v>278</v>
      </c>
      <c r="F44" s="52"/>
      <c r="G44" s="54"/>
      <c r="H44" s="41"/>
      <c r="I44" s="37"/>
      <c r="J44" s="53"/>
      <c r="K44" s="51"/>
      <c r="L44" s="43"/>
      <c r="M44" s="150"/>
    </row>
    <row r="45" spans="1:13" s="13" customFormat="1" x14ac:dyDescent="0.2">
      <c r="A45" s="36">
        <f>IF(F45&lt;&gt;"",1+MAX($A$1:A44),"")</f>
        <v>24</v>
      </c>
      <c r="B45" s="37" t="s">
        <v>267</v>
      </c>
      <c r="C45" s="37" t="s">
        <v>267</v>
      </c>
      <c r="D45" s="71"/>
      <c r="E45" s="46" t="s">
        <v>258</v>
      </c>
      <c r="F45" s="52">
        <f>2*2*1.34*3/27</f>
        <v>0.59555555555555562</v>
      </c>
      <c r="G45" s="48">
        <v>0.1</v>
      </c>
      <c r="H45" s="41">
        <f t="shared" ref="H45:H48" si="10">F45*(1+G45)</f>
        <v>0.6551111111111112</v>
      </c>
      <c r="I45" s="37" t="s">
        <v>257</v>
      </c>
      <c r="J45" s="53">
        <f>J$18</f>
        <v>0</v>
      </c>
      <c r="K45" s="51">
        <f t="shared" ref="K45:K48" si="11">J45*H45</f>
        <v>0</v>
      </c>
      <c r="L45" s="43"/>
      <c r="M45" s="150"/>
    </row>
    <row r="46" spans="1:13" s="13" customFormat="1" x14ac:dyDescent="0.2">
      <c r="A46" s="36">
        <f>IF(F46&lt;&gt;"",1+MAX($A$1:A45),"")</f>
        <v>25</v>
      </c>
      <c r="B46" s="37" t="s">
        <v>267</v>
      </c>
      <c r="C46" s="37" t="s">
        <v>267</v>
      </c>
      <c r="D46" s="64"/>
      <c r="E46" s="46" t="s">
        <v>279</v>
      </c>
      <c r="F46" s="52">
        <f>2*4*1.34*3</f>
        <v>32.160000000000004</v>
      </c>
      <c r="G46" s="48">
        <v>0.1</v>
      </c>
      <c r="H46" s="41">
        <f t="shared" si="10"/>
        <v>35.376000000000005</v>
      </c>
      <c r="I46" s="37" t="s">
        <v>259</v>
      </c>
      <c r="J46" s="53">
        <v>0</v>
      </c>
      <c r="K46" s="51">
        <f t="shared" si="11"/>
        <v>0</v>
      </c>
      <c r="L46" s="43"/>
      <c r="M46" s="150"/>
    </row>
    <row r="47" spans="1:13" s="13" customFormat="1" x14ac:dyDescent="0.2">
      <c r="A47" s="36">
        <f>IF(F47&lt;&gt;"",1+MAX($A$1:A46),"")</f>
        <v>26</v>
      </c>
      <c r="B47" s="37" t="s">
        <v>267</v>
      </c>
      <c r="C47" s="37" t="s">
        <v>267</v>
      </c>
      <c r="D47" s="64"/>
      <c r="E47" s="46" t="s">
        <v>280</v>
      </c>
      <c r="F47" s="52">
        <f>4*2*2.67*1.2*3</f>
        <v>76.895999999999987</v>
      </c>
      <c r="G47" s="48">
        <v>0.1</v>
      </c>
      <c r="H47" s="41">
        <f t="shared" si="10"/>
        <v>84.585599999999985</v>
      </c>
      <c r="I47" s="37" t="s">
        <v>271</v>
      </c>
      <c r="J47" s="53">
        <f t="shared" ref="J47:J48" si="12">J$22</f>
        <v>0</v>
      </c>
      <c r="K47" s="51">
        <f t="shared" si="11"/>
        <v>0</v>
      </c>
      <c r="L47" s="43"/>
      <c r="M47" s="150"/>
    </row>
    <row r="48" spans="1:13" s="13" customFormat="1" x14ac:dyDescent="0.2">
      <c r="A48" s="36">
        <f>IF(F48&lt;&gt;"",1+MAX($A$1:A47),"")</f>
        <v>27</v>
      </c>
      <c r="B48" s="37" t="s">
        <v>267</v>
      </c>
      <c r="C48" s="72" t="s">
        <v>237</v>
      </c>
      <c r="D48" s="64"/>
      <c r="E48" s="46" t="s">
        <v>281</v>
      </c>
      <c r="F48" s="52">
        <f>(1.34/0.67+1)*8*1.2*0.668*3</f>
        <v>57.715199999999996</v>
      </c>
      <c r="G48" s="48">
        <v>0.1</v>
      </c>
      <c r="H48" s="41">
        <f t="shared" si="10"/>
        <v>63.486719999999998</v>
      </c>
      <c r="I48" s="37" t="s">
        <v>271</v>
      </c>
      <c r="J48" s="53">
        <f t="shared" si="12"/>
        <v>0</v>
      </c>
      <c r="K48" s="51">
        <f t="shared" si="11"/>
        <v>0</v>
      </c>
      <c r="L48" s="43"/>
      <c r="M48" s="150"/>
    </row>
    <row r="49" spans="1:13" s="13" customFormat="1" x14ac:dyDescent="0.2">
      <c r="A49" s="36" t="str">
        <f>IF(F49&lt;&gt;"",1+MAX($A$1:A48),"")</f>
        <v/>
      </c>
      <c r="B49" s="37"/>
      <c r="C49" s="64"/>
      <c r="D49" s="64"/>
      <c r="E49" s="46"/>
      <c r="F49" s="52"/>
      <c r="G49" s="54"/>
      <c r="H49" s="41"/>
      <c r="I49" s="37"/>
      <c r="J49" s="53"/>
      <c r="K49" s="51"/>
      <c r="L49" s="43"/>
      <c r="M49" s="150"/>
    </row>
    <row r="50" spans="1:13" s="13" customFormat="1" ht="78.75" x14ac:dyDescent="0.2">
      <c r="A50" s="36" t="str">
        <f>IF(F50&lt;&gt;"",1+MAX($A$1:A49),"")</f>
        <v/>
      </c>
      <c r="B50" s="37"/>
      <c r="C50" s="64"/>
      <c r="D50" s="64"/>
      <c r="E50" s="65" t="s">
        <v>282</v>
      </c>
      <c r="F50" s="52"/>
      <c r="G50" s="54"/>
      <c r="H50" s="41"/>
      <c r="I50" s="37"/>
      <c r="J50" s="53"/>
      <c r="K50" s="51"/>
      <c r="L50" s="43"/>
      <c r="M50" s="150"/>
    </row>
    <row r="51" spans="1:13" s="13" customFormat="1" x14ac:dyDescent="0.2">
      <c r="A51" s="36">
        <f>IF(F51&lt;&gt;"",1+MAX($A$1:A50),"")</f>
        <v>28</v>
      </c>
      <c r="B51" s="37" t="s">
        <v>267</v>
      </c>
      <c r="C51" s="37" t="s">
        <v>267</v>
      </c>
      <c r="D51" s="71"/>
      <c r="E51" s="46" t="s">
        <v>258</v>
      </c>
      <c r="F51" s="73">
        <f>2*2*1.67/27</f>
        <v>0.24740740740740741</v>
      </c>
      <c r="G51" s="48">
        <v>0.1</v>
      </c>
      <c r="H51" s="41">
        <f t="shared" ref="H51:H54" si="13">F51*(1+G51)</f>
        <v>0.27214814814814819</v>
      </c>
      <c r="I51" s="37" t="s">
        <v>257</v>
      </c>
      <c r="J51" s="53">
        <f>J$18</f>
        <v>0</v>
      </c>
      <c r="K51" s="51">
        <f t="shared" ref="K51:K54" si="14">J51*H51</f>
        <v>0</v>
      </c>
      <c r="L51" s="43"/>
      <c r="M51" s="150"/>
    </row>
    <row r="52" spans="1:13" s="13" customFormat="1" x14ac:dyDescent="0.2">
      <c r="A52" s="36">
        <f>IF(F52&lt;&gt;"",1+MAX($A$1:A51),"")</f>
        <v>29</v>
      </c>
      <c r="B52" s="37" t="s">
        <v>267</v>
      </c>
      <c r="C52" s="37" t="s">
        <v>267</v>
      </c>
      <c r="D52" s="64"/>
      <c r="E52" s="46" t="s">
        <v>279</v>
      </c>
      <c r="F52" s="52">
        <f>2*4*1.67</f>
        <v>13.36</v>
      </c>
      <c r="G52" s="48">
        <v>0.1</v>
      </c>
      <c r="H52" s="41">
        <f t="shared" si="13"/>
        <v>14.696</v>
      </c>
      <c r="I52" s="37" t="s">
        <v>259</v>
      </c>
      <c r="J52" s="53">
        <f>J$46</f>
        <v>0</v>
      </c>
      <c r="K52" s="51">
        <f t="shared" si="14"/>
        <v>0</v>
      </c>
      <c r="L52" s="43"/>
      <c r="M52" s="150"/>
    </row>
    <row r="53" spans="1:13" s="13" customFormat="1" x14ac:dyDescent="0.2">
      <c r="A53" s="36">
        <f>IF(F53&lt;&gt;"",1+MAX($A$1:A52),"")</f>
        <v>30</v>
      </c>
      <c r="B53" s="37" t="s">
        <v>267</v>
      </c>
      <c r="C53" s="37" t="s">
        <v>267</v>
      </c>
      <c r="D53" s="64"/>
      <c r="E53" s="46" t="s">
        <v>280</v>
      </c>
      <c r="F53" s="52">
        <f>4*2.25*2.67*1.2</f>
        <v>28.835999999999999</v>
      </c>
      <c r="G53" s="48">
        <v>0.1</v>
      </c>
      <c r="H53" s="41">
        <f t="shared" si="13"/>
        <v>31.7196</v>
      </c>
      <c r="I53" s="37" t="s">
        <v>271</v>
      </c>
      <c r="J53" s="53">
        <f t="shared" ref="J53:J54" si="15">J$22</f>
        <v>0</v>
      </c>
      <c r="K53" s="51">
        <f t="shared" si="14"/>
        <v>0</v>
      </c>
      <c r="L53" s="43"/>
      <c r="M53" s="150"/>
    </row>
    <row r="54" spans="1:13" s="13" customFormat="1" x14ac:dyDescent="0.2">
      <c r="A54" s="36">
        <f>IF(F54&lt;&gt;"",1+MAX($A$1:A53),"")</f>
        <v>31</v>
      </c>
      <c r="B54" s="37" t="s">
        <v>267</v>
      </c>
      <c r="C54" s="72" t="s">
        <v>237</v>
      </c>
      <c r="D54" s="64"/>
      <c r="E54" s="46" t="s">
        <v>281</v>
      </c>
      <c r="F54" s="52">
        <f>(1.67/0.67+1)*8*1.2*0.668</f>
        <v>22.396943283582086</v>
      </c>
      <c r="G54" s="48">
        <v>0.1</v>
      </c>
      <c r="H54" s="41">
        <f t="shared" si="13"/>
        <v>24.636637611940298</v>
      </c>
      <c r="I54" s="37" t="s">
        <v>271</v>
      </c>
      <c r="J54" s="53">
        <f t="shared" si="15"/>
        <v>0</v>
      </c>
      <c r="K54" s="51">
        <f t="shared" si="14"/>
        <v>0</v>
      </c>
      <c r="L54" s="43"/>
      <c r="M54" s="150"/>
    </row>
    <row r="55" spans="1:13" s="13" customFormat="1" x14ac:dyDescent="0.2">
      <c r="A55" s="36" t="str">
        <f>IF(F55&lt;&gt;"",1+MAX($A$1:A54),"")</f>
        <v/>
      </c>
      <c r="B55" s="37"/>
      <c r="C55" s="64"/>
      <c r="D55" s="64"/>
      <c r="E55" s="46"/>
      <c r="F55" s="52"/>
      <c r="G55" s="54"/>
      <c r="H55" s="41"/>
      <c r="I55" s="37"/>
      <c r="J55" s="53"/>
      <c r="K55" s="51"/>
      <c r="L55" s="43"/>
      <c r="M55" s="150"/>
    </row>
    <row r="56" spans="1:13" s="13" customFormat="1" ht="78.75" x14ac:dyDescent="0.2">
      <c r="A56" s="36" t="str">
        <f>IF(F56&lt;&gt;"",1+MAX($A$1:A55),"")</f>
        <v/>
      </c>
      <c r="B56" s="37"/>
      <c r="C56" s="64"/>
      <c r="D56" s="64"/>
      <c r="E56" s="65" t="s">
        <v>283</v>
      </c>
      <c r="F56" s="52"/>
      <c r="G56" s="54"/>
      <c r="H56" s="41"/>
      <c r="I56" s="37"/>
      <c r="J56" s="53"/>
      <c r="K56" s="51"/>
      <c r="L56" s="43"/>
      <c r="M56" s="150"/>
    </row>
    <row r="57" spans="1:13" s="13" customFormat="1" x14ac:dyDescent="0.2">
      <c r="A57" s="36">
        <f>IF(F57&lt;&gt;"",1+MAX($A$1:A56),"")</f>
        <v>32</v>
      </c>
      <c r="B57" s="37" t="s">
        <v>267</v>
      </c>
      <c r="C57" s="37" t="s">
        <v>267</v>
      </c>
      <c r="D57" s="71"/>
      <c r="E57" s="46" t="s">
        <v>258</v>
      </c>
      <c r="F57" s="73">
        <f>2*2*2/27</f>
        <v>0.29629629629629628</v>
      </c>
      <c r="G57" s="48">
        <v>0.1</v>
      </c>
      <c r="H57" s="41">
        <f t="shared" ref="H57:H60" si="16">F57*(1+G57)</f>
        <v>0.32592592592592595</v>
      </c>
      <c r="I57" s="37" t="s">
        <v>257</v>
      </c>
      <c r="J57" s="53">
        <f>J$18</f>
        <v>0</v>
      </c>
      <c r="K57" s="51">
        <f t="shared" ref="K57:K60" si="17">J57*H57</f>
        <v>0</v>
      </c>
      <c r="L57" s="43"/>
      <c r="M57" s="150"/>
    </row>
    <row r="58" spans="1:13" s="13" customFormat="1" x14ac:dyDescent="0.2">
      <c r="A58" s="36">
        <f>IF(F58&lt;&gt;"",1+MAX($A$1:A57),"")</f>
        <v>33</v>
      </c>
      <c r="B58" s="37" t="s">
        <v>267</v>
      </c>
      <c r="C58" s="37" t="s">
        <v>267</v>
      </c>
      <c r="D58" s="64"/>
      <c r="E58" s="46" t="s">
        <v>279</v>
      </c>
      <c r="F58" s="52">
        <f>2*4*2</f>
        <v>16</v>
      </c>
      <c r="G58" s="48">
        <v>0.1</v>
      </c>
      <c r="H58" s="41">
        <f t="shared" si="16"/>
        <v>17.600000000000001</v>
      </c>
      <c r="I58" s="37" t="s">
        <v>259</v>
      </c>
      <c r="J58" s="53">
        <f>J$46</f>
        <v>0</v>
      </c>
      <c r="K58" s="51">
        <f t="shared" si="17"/>
        <v>0</v>
      </c>
      <c r="L58" s="43"/>
      <c r="M58" s="150"/>
    </row>
    <row r="59" spans="1:13" s="13" customFormat="1" x14ac:dyDescent="0.2">
      <c r="A59" s="36">
        <f>IF(F59&lt;&gt;"",1+MAX($A$1:A58),"")</f>
        <v>34</v>
      </c>
      <c r="B59" s="37" t="s">
        <v>267</v>
      </c>
      <c r="C59" s="37" t="s">
        <v>267</v>
      </c>
      <c r="D59" s="64"/>
      <c r="E59" s="46" t="s">
        <v>280</v>
      </c>
      <c r="F59" s="52">
        <f>4*2.5*2.67*1.2</f>
        <v>32.04</v>
      </c>
      <c r="G59" s="48">
        <v>0.1</v>
      </c>
      <c r="H59" s="41">
        <f t="shared" si="16"/>
        <v>35.244</v>
      </c>
      <c r="I59" s="37" t="s">
        <v>271</v>
      </c>
      <c r="J59" s="53">
        <f t="shared" ref="J59:J60" si="18">J$22</f>
        <v>0</v>
      </c>
      <c r="K59" s="51">
        <f t="shared" si="17"/>
        <v>0</v>
      </c>
      <c r="L59" s="43"/>
      <c r="M59" s="150"/>
    </row>
    <row r="60" spans="1:13" s="13" customFormat="1" x14ac:dyDescent="0.2">
      <c r="A60" s="36">
        <f>IF(F60&lt;&gt;"",1+MAX($A$1:A59),"")</f>
        <v>35</v>
      </c>
      <c r="B60" s="37" t="s">
        <v>267</v>
      </c>
      <c r="C60" s="72" t="s">
        <v>237</v>
      </c>
      <c r="D60" s="64"/>
      <c r="E60" s="46" t="s">
        <v>281</v>
      </c>
      <c r="F60" s="52">
        <f>(2/0.67+1)*8*1.2*0.668</f>
        <v>25.555486567164181</v>
      </c>
      <c r="G60" s="48">
        <v>0.1</v>
      </c>
      <c r="H60" s="41">
        <f t="shared" si="16"/>
        <v>28.111035223880602</v>
      </c>
      <c r="I60" s="37" t="s">
        <v>271</v>
      </c>
      <c r="J60" s="53">
        <f t="shared" si="18"/>
        <v>0</v>
      </c>
      <c r="K60" s="51">
        <f t="shared" si="17"/>
        <v>0</v>
      </c>
      <c r="L60" s="43"/>
      <c r="M60" s="150"/>
    </row>
    <row r="61" spans="1:13" s="13" customFormat="1" x14ac:dyDescent="0.2">
      <c r="A61" s="36" t="str">
        <f>IF(F61&lt;&gt;"",1+MAX($A$1:A60),"")</f>
        <v/>
      </c>
      <c r="B61" s="37"/>
      <c r="C61" s="64"/>
      <c r="D61" s="64"/>
      <c r="E61" s="46"/>
      <c r="F61" s="52"/>
      <c r="G61" s="54"/>
      <c r="H61" s="41"/>
      <c r="I61" s="37"/>
      <c r="J61" s="53"/>
      <c r="K61" s="51"/>
      <c r="L61" s="43"/>
      <c r="M61" s="150"/>
    </row>
    <row r="62" spans="1:13" s="13" customFormat="1" ht="78.75" x14ac:dyDescent="0.2">
      <c r="A62" s="36" t="str">
        <f>IF(F62&lt;&gt;"",1+MAX($A$1:A61),"")</f>
        <v/>
      </c>
      <c r="B62" s="37"/>
      <c r="C62" s="64"/>
      <c r="D62" s="64"/>
      <c r="E62" s="65" t="s">
        <v>284</v>
      </c>
      <c r="F62" s="52"/>
      <c r="G62" s="54"/>
      <c r="H62" s="41"/>
      <c r="I62" s="37"/>
      <c r="J62" s="53"/>
      <c r="K62" s="51"/>
      <c r="L62" s="43"/>
      <c r="M62" s="150"/>
    </row>
    <row r="63" spans="1:13" s="13" customFormat="1" x14ac:dyDescent="0.2">
      <c r="A63" s="36">
        <f>IF(F63&lt;&gt;"",1+MAX($A$1:A62),"")</f>
        <v>36</v>
      </c>
      <c r="B63" s="37" t="s">
        <v>267</v>
      </c>
      <c r="C63" s="37" t="s">
        <v>267</v>
      </c>
      <c r="D63" s="71"/>
      <c r="E63" s="46" t="s">
        <v>258</v>
      </c>
      <c r="F63" s="73">
        <f>2*2*3.67/27</f>
        <v>0.54370370370370369</v>
      </c>
      <c r="G63" s="48">
        <v>0.1</v>
      </c>
      <c r="H63" s="41">
        <f t="shared" ref="H63:H66" si="19">F63*(1+G63)</f>
        <v>0.59807407407407409</v>
      </c>
      <c r="I63" s="37" t="s">
        <v>257</v>
      </c>
      <c r="J63" s="53">
        <f>J$18</f>
        <v>0</v>
      </c>
      <c r="K63" s="51">
        <f t="shared" ref="K63:K66" si="20">J63*H63</f>
        <v>0</v>
      </c>
      <c r="L63" s="43"/>
      <c r="M63" s="150"/>
    </row>
    <row r="64" spans="1:13" s="13" customFormat="1" x14ac:dyDescent="0.2">
      <c r="A64" s="36">
        <f>IF(F64&lt;&gt;"",1+MAX($A$1:A63),"")</f>
        <v>37</v>
      </c>
      <c r="B64" s="37" t="s">
        <v>267</v>
      </c>
      <c r="C64" s="37" t="s">
        <v>267</v>
      </c>
      <c r="D64" s="64"/>
      <c r="E64" s="46" t="s">
        <v>279</v>
      </c>
      <c r="F64" s="52">
        <f>2*4*3.67</f>
        <v>29.36</v>
      </c>
      <c r="G64" s="48">
        <v>0.1</v>
      </c>
      <c r="H64" s="41">
        <f t="shared" si="19"/>
        <v>32.295999999999999</v>
      </c>
      <c r="I64" s="37" t="s">
        <v>259</v>
      </c>
      <c r="J64" s="53">
        <f>J$46</f>
        <v>0</v>
      </c>
      <c r="K64" s="51">
        <f t="shared" si="20"/>
        <v>0</v>
      </c>
      <c r="L64" s="43"/>
      <c r="M64" s="150"/>
    </row>
    <row r="65" spans="1:13" s="13" customFormat="1" x14ac:dyDescent="0.2">
      <c r="A65" s="36">
        <f>IF(F65&lt;&gt;"",1+MAX($A$1:A64),"")</f>
        <v>38</v>
      </c>
      <c r="B65" s="37" t="s">
        <v>267</v>
      </c>
      <c r="C65" s="37" t="s">
        <v>267</v>
      </c>
      <c r="D65" s="64"/>
      <c r="E65" s="46" t="s">
        <v>280</v>
      </c>
      <c r="F65" s="52">
        <f>4*4*2.67*1.2</f>
        <v>51.263999999999996</v>
      </c>
      <c r="G65" s="48">
        <v>0.1</v>
      </c>
      <c r="H65" s="41">
        <f t="shared" si="19"/>
        <v>56.3904</v>
      </c>
      <c r="I65" s="37" t="s">
        <v>271</v>
      </c>
      <c r="J65" s="53">
        <f t="shared" ref="J65:J66" si="21">J$22</f>
        <v>0</v>
      </c>
      <c r="K65" s="51">
        <f t="shared" si="20"/>
        <v>0</v>
      </c>
      <c r="L65" s="43"/>
      <c r="M65" s="150"/>
    </row>
    <row r="66" spans="1:13" s="13" customFormat="1" x14ac:dyDescent="0.2">
      <c r="A66" s="36">
        <f>IF(F66&lt;&gt;"",1+MAX($A$1:A65),"")</f>
        <v>39</v>
      </c>
      <c r="B66" s="37" t="s">
        <v>267</v>
      </c>
      <c r="C66" s="72" t="s">
        <v>237</v>
      </c>
      <c r="D66" s="64"/>
      <c r="E66" s="46" t="s">
        <v>281</v>
      </c>
      <c r="F66" s="52">
        <f>(3.67/0.67+1)*8*1.2*0.668</f>
        <v>41.539629850746266</v>
      </c>
      <c r="G66" s="48">
        <v>0.1</v>
      </c>
      <c r="H66" s="41">
        <f t="shared" si="19"/>
        <v>45.693592835820894</v>
      </c>
      <c r="I66" s="37" t="s">
        <v>271</v>
      </c>
      <c r="J66" s="53">
        <f t="shared" si="21"/>
        <v>0</v>
      </c>
      <c r="K66" s="51">
        <f t="shared" si="20"/>
        <v>0</v>
      </c>
      <c r="L66" s="43"/>
      <c r="M66" s="150"/>
    </row>
    <row r="67" spans="1:13" s="13" customFormat="1" x14ac:dyDescent="0.2">
      <c r="A67" s="36" t="str">
        <f>IF(F67&lt;&gt;"",1+MAX($A$1:A66),"")</f>
        <v/>
      </c>
      <c r="B67" s="37"/>
      <c r="C67" s="64"/>
      <c r="D67" s="64"/>
      <c r="E67" s="74" t="s">
        <v>285</v>
      </c>
      <c r="F67" s="52"/>
      <c r="G67" s="54"/>
      <c r="H67" s="41"/>
      <c r="I67" s="37"/>
      <c r="J67" s="53"/>
      <c r="K67" s="51"/>
      <c r="L67" s="43"/>
      <c r="M67" s="150"/>
    </row>
    <row r="68" spans="1:13" s="13" customFormat="1" ht="31.5" x14ac:dyDescent="0.2">
      <c r="A68" s="36">
        <f>IF(F68&lt;&gt;"",1+MAX($A$1:A67),"")</f>
        <v>40</v>
      </c>
      <c r="B68" s="37" t="s">
        <v>267</v>
      </c>
      <c r="C68" s="64"/>
      <c r="D68" s="64"/>
      <c r="E68" s="46" t="s">
        <v>381</v>
      </c>
      <c r="F68" s="52">
        <v>6</v>
      </c>
      <c r="G68" s="54">
        <v>0</v>
      </c>
      <c r="H68" s="41">
        <f t="shared" ref="H68" si="22">F68*(1+G68)</f>
        <v>6</v>
      </c>
      <c r="I68" s="37" t="s">
        <v>18</v>
      </c>
      <c r="J68" s="53">
        <v>0</v>
      </c>
      <c r="K68" s="51">
        <f t="shared" ref="K68" si="23">J68*H68</f>
        <v>0</v>
      </c>
      <c r="L68" s="43"/>
      <c r="M68" s="150"/>
    </row>
    <row r="69" spans="1:13" s="13" customFormat="1" x14ac:dyDescent="0.2">
      <c r="A69" s="36" t="str">
        <f>IF(F69&lt;&gt;"",1+MAX($A$1:A68),"")</f>
        <v/>
      </c>
      <c r="B69" s="37"/>
      <c r="C69" s="64"/>
      <c r="D69" s="75"/>
      <c r="E69" s="76"/>
      <c r="F69" s="41"/>
      <c r="G69" s="54"/>
      <c r="H69" s="41"/>
      <c r="I69" s="37"/>
      <c r="J69" s="77"/>
      <c r="K69" s="51"/>
      <c r="L69" s="51"/>
      <c r="M69" s="150"/>
    </row>
    <row r="70" spans="1:13" s="13" customFormat="1" x14ac:dyDescent="0.2">
      <c r="A70" s="36" t="str">
        <f>IF(F70&lt;&gt;"",1+MAX($A$1:A69),"")</f>
        <v/>
      </c>
      <c r="B70" s="64"/>
      <c r="C70" s="64"/>
      <c r="D70" s="75"/>
      <c r="E70" s="65" t="s">
        <v>286</v>
      </c>
      <c r="F70" s="52"/>
      <c r="G70" s="54"/>
      <c r="H70" s="41"/>
      <c r="I70" s="37"/>
      <c r="J70" s="77"/>
      <c r="K70" s="56"/>
      <c r="L70" s="56">
        <f>SUM(K15:K69)</f>
        <v>0</v>
      </c>
      <c r="M70" s="150"/>
    </row>
    <row r="71" spans="1:13" s="13" customFormat="1" x14ac:dyDescent="0.2">
      <c r="A71" s="36" t="str">
        <f>IF(F71&lt;&gt;"",1+MAX($A$1:A70),"")</f>
        <v/>
      </c>
      <c r="B71" s="37"/>
      <c r="C71" s="64"/>
      <c r="D71" s="64"/>
      <c r="E71" s="46"/>
      <c r="F71" s="52"/>
      <c r="G71" s="54"/>
      <c r="H71" s="41"/>
      <c r="I71" s="37"/>
      <c r="J71" s="53"/>
      <c r="K71" s="51"/>
      <c r="L71" s="43"/>
      <c r="M71" s="150"/>
    </row>
    <row r="72" spans="1:13" s="16" customFormat="1" x14ac:dyDescent="0.2">
      <c r="A72" s="36" t="str">
        <f>IF(F72&lt;&gt;"",1+MAX($A$1:A71),"")</f>
        <v/>
      </c>
      <c r="B72" s="62"/>
      <c r="C72" s="63"/>
      <c r="D72" s="63"/>
      <c r="E72" s="65" t="s">
        <v>287</v>
      </c>
      <c r="F72" s="66"/>
      <c r="G72" s="67"/>
      <c r="H72" s="68"/>
      <c r="I72" s="62"/>
      <c r="J72" s="69"/>
      <c r="K72" s="70"/>
      <c r="L72" s="70"/>
      <c r="M72" s="152"/>
    </row>
    <row r="73" spans="1:13" s="13" customFormat="1" ht="63" x14ac:dyDescent="0.2">
      <c r="A73" s="36" t="str">
        <f>IF(F73&lt;&gt;"",1+MAX($A$1:A72),"")</f>
        <v/>
      </c>
      <c r="B73" s="37"/>
      <c r="C73" s="64"/>
      <c r="D73" s="64"/>
      <c r="E73" s="65" t="s">
        <v>288</v>
      </c>
      <c r="F73" s="52"/>
      <c r="G73" s="54"/>
      <c r="H73" s="41"/>
      <c r="I73" s="37"/>
      <c r="J73" s="53"/>
      <c r="K73" s="51"/>
      <c r="L73" s="43"/>
      <c r="M73" s="150"/>
    </row>
    <row r="74" spans="1:13" s="13" customFormat="1" x14ac:dyDescent="0.2">
      <c r="A74" s="36">
        <f>IF(F74&lt;&gt;"",1+MAX($A$1:A73),"")</f>
        <v>41</v>
      </c>
      <c r="B74" s="37" t="s">
        <v>267</v>
      </c>
      <c r="C74" s="64" t="s">
        <v>289</v>
      </c>
      <c r="D74" s="71"/>
      <c r="E74" s="46" t="s">
        <v>258</v>
      </c>
      <c r="F74" s="52">
        <f>2*2*1/27</f>
        <v>0.14814814814814814</v>
      </c>
      <c r="G74" s="48">
        <v>0.1</v>
      </c>
      <c r="H74" s="41">
        <f t="shared" ref="H74:H81" si="24">F74*(1+G74)</f>
        <v>0.16296296296296298</v>
      </c>
      <c r="I74" s="37" t="s">
        <v>257</v>
      </c>
      <c r="J74" s="53">
        <f>J$18</f>
        <v>0</v>
      </c>
      <c r="K74" s="51">
        <f t="shared" ref="K74:K81" si="25">J74*H74</f>
        <v>0</v>
      </c>
      <c r="L74" s="43"/>
      <c r="M74" s="150"/>
    </row>
    <row r="75" spans="1:13" s="13" customFormat="1" x14ac:dyDescent="0.2">
      <c r="A75" s="36">
        <f>IF(F75&lt;&gt;"",1+MAX($A$1:A74),"")</f>
        <v>42</v>
      </c>
      <c r="B75" s="37" t="s">
        <v>267</v>
      </c>
      <c r="C75" s="64" t="s">
        <v>289</v>
      </c>
      <c r="D75" s="64"/>
      <c r="E75" s="46" t="s">
        <v>290</v>
      </c>
      <c r="F75" s="52">
        <f>2*1*2</f>
        <v>4</v>
      </c>
      <c r="G75" s="48">
        <v>0.1</v>
      </c>
      <c r="H75" s="41">
        <f t="shared" si="24"/>
        <v>4.4000000000000004</v>
      </c>
      <c r="I75" s="37" t="s">
        <v>259</v>
      </c>
      <c r="J75" s="53">
        <v>0</v>
      </c>
      <c r="K75" s="51">
        <f t="shared" si="25"/>
        <v>0</v>
      </c>
      <c r="L75" s="43"/>
      <c r="M75" s="150"/>
    </row>
    <row r="76" spans="1:13" s="13" customFormat="1" x14ac:dyDescent="0.2">
      <c r="A76" s="36">
        <f>IF(F76&lt;&gt;"",1+MAX($A$1:A75),"")</f>
        <v>43</v>
      </c>
      <c r="B76" s="37" t="s">
        <v>267</v>
      </c>
      <c r="C76" s="64" t="s">
        <v>289</v>
      </c>
      <c r="D76" s="64"/>
      <c r="E76" s="46" t="s">
        <v>260</v>
      </c>
      <c r="F76" s="52">
        <f>2*3*5/27</f>
        <v>1.1111111111111112</v>
      </c>
      <c r="G76" s="48">
        <v>0.1</v>
      </c>
      <c r="H76" s="41">
        <f t="shared" si="24"/>
        <v>1.2222222222222223</v>
      </c>
      <c r="I76" s="37" t="s">
        <v>257</v>
      </c>
      <c r="J76" s="53">
        <f>J$20</f>
        <v>0</v>
      </c>
      <c r="K76" s="51">
        <f t="shared" si="25"/>
        <v>0</v>
      </c>
      <c r="L76" s="43"/>
      <c r="M76" s="150"/>
    </row>
    <row r="77" spans="1:13" s="13" customFormat="1" x14ac:dyDescent="0.2">
      <c r="A77" s="36">
        <f>IF(F77&lt;&gt;"",1+MAX($A$1:A76),"")</f>
        <v>44</v>
      </c>
      <c r="B77" s="37" t="s">
        <v>267</v>
      </c>
      <c r="C77" s="64" t="s">
        <v>289</v>
      </c>
      <c r="D77" s="64"/>
      <c r="E77" s="46" t="s">
        <v>261</v>
      </c>
      <c r="F77" s="52">
        <f>F76-F74-4*1.17*2/27</f>
        <v>0.61629629629629634</v>
      </c>
      <c r="G77" s="48">
        <v>0.1</v>
      </c>
      <c r="H77" s="41">
        <f t="shared" si="24"/>
        <v>0.67792592592592604</v>
      </c>
      <c r="I77" s="37" t="s">
        <v>257</v>
      </c>
      <c r="J77" s="53">
        <f>J$21</f>
        <v>0</v>
      </c>
      <c r="K77" s="51">
        <f t="shared" si="25"/>
        <v>0</v>
      </c>
      <c r="L77" s="43"/>
      <c r="M77" s="150"/>
    </row>
    <row r="78" spans="1:13" s="13" customFormat="1" x14ac:dyDescent="0.2">
      <c r="A78" s="36">
        <f>IF(F78&lt;&gt;"",1+MAX($A$1:A77),"")</f>
        <v>45</v>
      </c>
      <c r="B78" s="37" t="s">
        <v>267</v>
      </c>
      <c r="C78" s="64" t="s">
        <v>289</v>
      </c>
      <c r="D78" s="64"/>
      <c r="E78" s="46" t="s">
        <v>291</v>
      </c>
      <c r="F78" s="52">
        <f>(2/1+1)*2*0.668*1.2</f>
        <v>4.8095999999999997</v>
      </c>
      <c r="G78" s="48">
        <v>0.1</v>
      </c>
      <c r="H78" s="41">
        <f t="shared" si="24"/>
        <v>5.2905600000000002</v>
      </c>
      <c r="I78" s="37" t="s">
        <v>271</v>
      </c>
      <c r="J78" s="53">
        <f>J$22</f>
        <v>0</v>
      </c>
      <c r="K78" s="51">
        <f t="shared" si="25"/>
        <v>0</v>
      </c>
      <c r="L78" s="43"/>
      <c r="M78" s="150"/>
    </row>
    <row r="79" spans="1:13" s="13" customFormat="1" x14ac:dyDescent="0.2">
      <c r="A79" s="36">
        <f>IF(F79&lt;&gt;"",1+MAX($A$1:A78),"")</f>
        <v>46</v>
      </c>
      <c r="B79" s="37" t="s">
        <v>267</v>
      </c>
      <c r="C79" s="64" t="s">
        <v>289</v>
      </c>
      <c r="D79" s="64"/>
      <c r="E79" s="46" t="s">
        <v>292</v>
      </c>
      <c r="F79" s="52">
        <f>4*2*0.668*1.2</f>
        <v>6.4127999999999998</v>
      </c>
      <c r="G79" s="48">
        <v>0.1</v>
      </c>
      <c r="H79" s="41">
        <f t="shared" si="24"/>
        <v>7.0540800000000008</v>
      </c>
      <c r="I79" s="37" t="s">
        <v>271</v>
      </c>
      <c r="J79" s="53">
        <f t="shared" ref="J79:J81" si="26">J$22</f>
        <v>0</v>
      </c>
      <c r="K79" s="51">
        <f t="shared" si="25"/>
        <v>0</v>
      </c>
      <c r="L79" s="43"/>
      <c r="M79" s="150"/>
    </row>
    <row r="80" spans="1:13" s="13" customFormat="1" x14ac:dyDescent="0.2">
      <c r="A80" s="36">
        <f>IF(F80&lt;&gt;"",1+MAX($A$1:A79),"")</f>
        <v>47</v>
      </c>
      <c r="B80" s="37" t="s">
        <v>267</v>
      </c>
      <c r="C80" s="64" t="s">
        <v>289</v>
      </c>
      <c r="D80" s="64"/>
      <c r="E80" s="46" t="s">
        <v>293</v>
      </c>
      <c r="F80" s="52">
        <f>(2/4+1)*2.5*0.668*1.2</f>
        <v>3.0060000000000002</v>
      </c>
      <c r="G80" s="48">
        <v>0.1</v>
      </c>
      <c r="H80" s="41">
        <f t="shared" si="24"/>
        <v>3.3066000000000004</v>
      </c>
      <c r="I80" s="37" t="s">
        <v>271</v>
      </c>
      <c r="J80" s="53">
        <f t="shared" si="26"/>
        <v>0</v>
      </c>
      <c r="K80" s="51">
        <f t="shared" si="25"/>
        <v>0</v>
      </c>
      <c r="L80" s="43"/>
      <c r="M80" s="150"/>
    </row>
    <row r="81" spans="1:13" s="13" customFormat="1" x14ac:dyDescent="0.2">
      <c r="A81" s="36">
        <f>IF(F81&lt;&gt;"",1+MAX($A$1:A80),"")</f>
        <v>48</v>
      </c>
      <c r="B81" s="37" t="s">
        <v>267</v>
      </c>
      <c r="C81" s="64" t="s">
        <v>289</v>
      </c>
      <c r="D81" s="64"/>
      <c r="E81" s="46" t="s">
        <v>294</v>
      </c>
      <c r="F81" s="52">
        <f>(2/4+1)*3.25*0.668*1.2</f>
        <v>3.9078000000000004</v>
      </c>
      <c r="G81" s="48">
        <v>0.1</v>
      </c>
      <c r="H81" s="41">
        <f t="shared" si="24"/>
        <v>4.2985800000000012</v>
      </c>
      <c r="I81" s="37" t="s">
        <v>271</v>
      </c>
      <c r="J81" s="53">
        <f t="shared" si="26"/>
        <v>0</v>
      </c>
      <c r="K81" s="51">
        <f t="shared" si="25"/>
        <v>0</v>
      </c>
      <c r="L81" s="43"/>
      <c r="M81" s="150"/>
    </row>
    <row r="82" spans="1:13" s="13" customFormat="1" x14ac:dyDescent="0.2">
      <c r="A82" s="36" t="str">
        <f>IF(F82&lt;&gt;"",1+MAX($A$1:A81),"")</f>
        <v/>
      </c>
      <c r="B82" s="37"/>
      <c r="C82" s="64"/>
      <c r="D82" s="64"/>
      <c r="E82" s="46"/>
      <c r="F82" s="52"/>
      <c r="G82" s="54"/>
      <c r="H82" s="41"/>
      <c r="I82" s="37"/>
      <c r="J82" s="53"/>
      <c r="K82" s="51"/>
      <c r="L82" s="43"/>
      <c r="M82" s="150"/>
    </row>
    <row r="83" spans="1:13" s="13" customFormat="1" ht="63" x14ac:dyDescent="0.2">
      <c r="A83" s="36" t="str">
        <f>IF(F83&lt;&gt;"",1+MAX($A$1:A82),"")</f>
        <v/>
      </c>
      <c r="B83" s="37"/>
      <c r="C83" s="64"/>
      <c r="D83" s="64"/>
      <c r="E83" s="65" t="s">
        <v>295</v>
      </c>
      <c r="F83" s="52"/>
      <c r="G83" s="54"/>
      <c r="H83" s="41"/>
      <c r="I83" s="37"/>
      <c r="J83" s="53"/>
      <c r="K83" s="51"/>
      <c r="L83" s="43"/>
      <c r="M83" s="150"/>
    </row>
    <row r="84" spans="1:13" s="13" customFormat="1" x14ac:dyDescent="0.2">
      <c r="A84" s="36">
        <f>IF(F84&lt;&gt;"",1+MAX($A$1:A83),"")</f>
        <v>49</v>
      </c>
      <c r="B84" s="37" t="s">
        <v>267</v>
      </c>
      <c r="C84" s="64" t="s">
        <v>289</v>
      </c>
      <c r="D84" s="71"/>
      <c r="E84" s="46" t="s">
        <v>258</v>
      </c>
      <c r="F84" s="52">
        <f>4*2*1/27</f>
        <v>0.29629629629629628</v>
      </c>
      <c r="G84" s="48">
        <v>0.1</v>
      </c>
      <c r="H84" s="41">
        <f t="shared" ref="H84:H91" si="27">F84*(1+G84)</f>
        <v>0.32592592592592595</v>
      </c>
      <c r="I84" s="37" t="s">
        <v>257</v>
      </c>
      <c r="J84" s="53">
        <f>J$18</f>
        <v>0</v>
      </c>
      <c r="K84" s="51">
        <f t="shared" ref="K84:K91" si="28">J84*H84</f>
        <v>0</v>
      </c>
      <c r="L84" s="43"/>
      <c r="M84" s="150"/>
    </row>
    <row r="85" spans="1:13" s="13" customFormat="1" x14ac:dyDescent="0.2">
      <c r="A85" s="36">
        <f>IF(F85&lt;&gt;"",1+MAX($A$1:A84),"")</f>
        <v>50</v>
      </c>
      <c r="B85" s="37" t="s">
        <v>267</v>
      </c>
      <c r="C85" s="64" t="s">
        <v>289</v>
      </c>
      <c r="D85" s="64"/>
      <c r="E85" s="46" t="s">
        <v>290</v>
      </c>
      <c r="F85" s="52">
        <f>4*1*2</f>
        <v>8</v>
      </c>
      <c r="G85" s="48">
        <v>0.1</v>
      </c>
      <c r="H85" s="41">
        <f t="shared" si="27"/>
        <v>8.8000000000000007</v>
      </c>
      <c r="I85" s="37" t="s">
        <v>259</v>
      </c>
      <c r="J85" s="53">
        <f>J$75</f>
        <v>0</v>
      </c>
      <c r="K85" s="51">
        <f t="shared" si="28"/>
        <v>0</v>
      </c>
      <c r="L85" s="43"/>
      <c r="M85" s="150"/>
    </row>
    <row r="86" spans="1:13" s="13" customFormat="1" x14ac:dyDescent="0.2">
      <c r="A86" s="36">
        <f>IF(F86&lt;&gt;"",1+MAX($A$1:A85),"")</f>
        <v>51</v>
      </c>
      <c r="B86" s="37" t="s">
        <v>267</v>
      </c>
      <c r="C86" s="64" t="s">
        <v>289</v>
      </c>
      <c r="D86" s="64"/>
      <c r="E86" s="46" t="s">
        <v>260</v>
      </c>
      <c r="F86" s="52">
        <f>4*3*5.67/27</f>
        <v>2.5199999999999996</v>
      </c>
      <c r="G86" s="48">
        <v>0.1</v>
      </c>
      <c r="H86" s="41">
        <f t="shared" si="27"/>
        <v>2.7719999999999998</v>
      </c>
      <c r="I86" s="37" t="s">
        <v>257</v>
      </c>
      <c r="J86" s="53">
        <f>J$20</f>
        <v>0</v>
      </c>
      <c r="K86" s="51">
        <f t="shared" si="28"/>
        <v>0</v>
      </c>
      <c r="L86" s="43"/>
      <c r="M86" s="150"/>
    </row>
    <row r="87" spans="1:13" s="13" customFormat="1" x14ac:dyDescent="0.2">
      <c r="A87" s="36">
        <f>IF(F87&lt;&gt;"",1+MAX($A$1:A86),"")</f>
        <v>52</v>
      </c>
      <c r="B87" s="37" t="s">
        <v>267</v>
      </c>
      <c r="C87" s="64" t="s">
        <v>289</v>
      </c>
      <c r="D87" s="64"/>
      <c r="E87" s="46" t="s">
        <v>261</v>
      </c>
      <c r="F87" s="52">
        <f>F86-F84-4.67*1.17*4/27</f>
        <v>1.4142370370370365</v>
      </c>
      <c r="G87" s="48">
        <v>0.1</v>
      </c>
      <c r="H87" s="41">
        <f t="shared" si="27"/>
        <v>1.5556607407407403</v>
      </c>
      <c r="I87" s="37" t="s">
        <v>257</v>
      </c>
      <c r="J87" s="53">
        <f>J$21</f>
        <v>0</v>
      </c>
      <c r="K87" s="51">
        <f t="shared" si="28"/>
        <v>0</v>
      </c>
      <c r="L87" s="43"/>
      <c r="M87" s="150"/>
    </row>
    <row r="88" spans="1:13" s="13" customFormat="1" x14ac:dyDescent="0.2">
      <c r="A88" s="36">
        <f>IF(F88&lt;&gt;"",1+MAX($A$1:A87),"")</f>
        <v>53</v>
      </c>
      <c r="B88" s="37" t="s">
        <v>267</v>
      </c>
      <c r="C88" s="64" t="s">
        <v>289</v>
      </c>
      <c r="D88" s="64"/>
      <c r="E88" s="46" t="s">
        <v>291</v>
      </c>
      <c r="F88" s="52">
        <f>(4/1+1)*2*0.668*1.2</f>
        <v>8.016</v>
      </c>
      <c r="G88" s="48">
        <v>0.1</v>
      </c>
      <c r="H88" s="41">
        <f t="shared" si="27"/>
        <v>8.8176000000000005</v>
      </c>
      <c r="I88" s="37" t="s">
        <v>271</v>
      </c>
      <c r="J88" s="53">
        <f t="shared" ref="J88:J91" si="29">J$22</f>
        <v>0</v>
      </c>
      <c r="K88" s="51">
        <f t="shared" si="28"/>
        <v>0</v>
      </c>
      <c r="L88" s="43"/>
      <c r="M88" s="150"/>
    </row>
    <row r="89" spans="1:13" s="13" customFormat="1" x14ac:dyDescent="0.2">
      <c r="A89" s="36">
        <f>IF(F89&lt;&gt;"",1+MAX($A$1:A88),"")</f>
        <v>54</v>
      </c>
      <c r="B89" s="37" t="s">
        <v>267</v>
      </c>
      <c r="C89" s="64" t="s">
        <v>289</v>
      </c>
      <c r="D89" s="64"/>
      <c r="E89" s="46" t="s">
        <v>292</v>
      </c>
      <c r="F89" s="52">
        <f>4*4*0.668*1.2</f>
        <v>12.8256</v>
      </c>
      <c r="G89" s="48">
        <v>0.1</v>
      </c>
      <c r="H89" s="41">
        <f t="shared" si="27"/>
        <v>14.108160000000002</v>
      </c>
      <c r="I89" s="37" t="s">
        <v>271</v>
      </c>
      <c r="J89" s="53">
        <f t="shared" si="29"/>
        <v>0</v>
      </c>
      <c r="K89" s="51">
        <f t="shared" si="28"/>
        <v>0</v>
      </c>
      <c r="L89" s="43"/>
      <c r="M89" s="150"/>
    </row>
    <row r="90" spans="1:13" s="13" customFormat="1" x14ac:dyDescent="0.2">
      <c r="A90" s="36">
        <f>IF(F90&lt;&gt;"",1+MAX($A$1:A89),"")</f>
        <v>55</v>
      </c>
      <c r="B90" s="37" t="s">
        <v>267</v>
      </c>
      <c r="C90" s="64" t="s">
        <v>289</v>
      </c>
      <c r="D90" s="64"/>
      <c r="E90" s="46" t="s">
        <v>293</v>
      </c>
      <c r="F90" s="52">
        <f>(4/4+1)*3.17*0.668*1.2</f>
        <v>5.0821440000000004</v>
      </c>
      <c r="G90" s="48">
        <v>0.1</v>
      </c>
      <c r="H90" s="41">
        <f t="shared" si="27"/>
        <v>5.5903584000000013</v>
      </c>
      <c r="I90" s="37" t="s">
        <v>271</v>
      </c>
      <c r="J90" s="53">
        <f t="shared" si="29"/>
        <v>0</v>
      </c>
      <c r="K90" s="51">
        <f t="shared" si="28"/>
        <v>0</v>
      </c>
      <c r="L90" s="43"/>
      <c r="M90" s="150"/>
    </row>
    <row r="91" spans="1:13" s="13" customFormat="1" x14ac:dyDescent="0.2">
      <c r="A91" s="36">
        <f>IF(F91&lt;&gt;"",1+MAX($A$1:A90),"")</f>
        <v>56</v>
      </c>
      <c r="B91" s="37" t="s">
        <v>267</v>
      </c>
      <c r="C91" s="64" t="s">
        <v>289</v>
      </c>
      <c r="D91" s="64"/>
      <c r="E91" s="46" t="s">
        <v>294</v>
      </c>
      <c r="F91" s="52">
        <f>(4/4+1)*4*0.668*1.2</f>
        <v>6.4127999999999998</v>
      </c>
      <c r="G91" s="48">
        <v>0.1</v>
      </c>
      <c r="H91" s="41">
        <f t="shared" si="27"/>
        <v>7.0540800000000008</v>
      </c>
      <c r="I91" s="37" t="s">
        <v>271</v>
      </c>
      <c r="J91" s="53">
        <f t="shared" si="29"/>
        <v>0</v>
      </c>
      <c r="K91" s="51">
        <f t="shared" si="28"/>
        <v>0</v>
      </c>
      <c r="L91" s="43"/>
      <c r="M91" s="150"/>
    </row>
    <row r="92" spans="1:13" s="13" customFormat="1" x14ac:dyDescent="0.2">
      <c r="A92" s="36" t="str">
        <f>IF(F92&lt;&gt;"",1+MAX($A$1:A91),"")</f>
        <v/>
      </c>
      <c r="B92" s="37"/>
      <c r="C92" s="64"/>
      <c r="D92" s="64"/>
      <c r="E92" s="46"/>
      <c r="F92" s="52"/>
      <c r="G92" s="54"/>
      <c r="H92" s="41"/>
      <c r="I92" s="37"/>
      <c r="J92" s="53"/>
      <c r="K92" s="51"/>
      <c r="L92" s="43"/>
      <c r="M92" s="150"/>
    </row>
    <row r="93" spans="1:13" s="13" customFormat="1" ht="63" x14ac:dyDescent="0.2">
      <c r="A93" s="36" t="str">
        <f>IF(F93&lt;&gt;"",1+MAX($A$1:A92),"")</f>
        <v/>
      </c>
      <c r="B93" s="37"/>
      <c r="C93" s="64"/>
      <c r="D93" s="64"/>
      <c r="E93" s="65" t="s">
        <v>296</v>
      </c>
      <c r="F93" s="52"/>
      <c r="G93" s="54"/>
      <c r="H93" s="41"/>
      <c r="I93" s="37"/>
      <c r="J93" s="53"/>
      <c r="K93" s="51"/>
      <c r="L93" s="43"/>
      <c r="M93" s="150"/>
    </row>
    <row r="94" spans="1:13" s="13" customFormat="1" x14ac:dyDescent="0.2">
      <c r="A94" s="36">
        <f>IF(F94&lt;&gt;"",1+MAX($A$1:A93),"")</f>
        <v>57</v>
      </c>
      <c r="B94" s="37" t="s">
        <v>267</v>
      </c>
      <c r="C94" s="64" t="s">
        <v>289</v>
      </c>
      <c r="D94" s="71"/>
      <c r="E94" s="46" t="s">
        <v>258</v>
      </c>
      <c r="F94" s="52">
        <f>20*2*1/27</f>
        <v>1.4814814814814814</v>
      </c>
      <c r="G94" s="48">
        <v>0.1</v>
      </c>
      <c r="H94" s="41">
        <f t="shared" ref="H94:H100" si="30">F94*(1+G94)</f>
        <v>1.6296296296296298</v>
      </c>
      <c r="I94" s="37" t="s">
        <v>257</v>
      </c>
      <c r="J94" s="53">
        <f>J$18</f>
        <v>0</v>
      </c>
      <c r="K94" s="51">
        <f t="shared" ref="K94:K100" si="31">J94*H94</f>
        <v>0</v>
      </c>
      <c r="L94" s="43"/>
      <c r="M94" s="150"/>
    </row>
    <row r="95" spans="1:13" s="13" customFormat="1" x14ac:dyDescent="0.2">
      <c r="A95" s="36">
        <f>IF(F95&lt;&gt;"",1+MAX($A$1:A94),"")</f>
        <v>58</v>
      </c>
      <c r="B95" s="37" t="s">
        <v>267</v>
      </c>
      <c r="C95" s="64" t="s">
        <v>289</v>
      </c>
      <c r="D95" s="64"/>
      <c r="E95" s="46" t="s">
        <v>290</v>
      </c>
      <c r="F95" s="52">
        <f>20*1*2</f>
        <v>40</v>
      </c>
      <c r="G95" s="48">
        <v>0.1</v>
      </c>
      <c r="H95" s="41">
        <f t="shared" si="30"/>
        <v>44</v>
      </c>
      <c r="I95" s="37" t="s">
        <v>259</v>
      </c>
      <c r="J95" s="53">
        <f>J$75</f>
        <v>0</v>
      </c>
      <c r="K95" s="51">
        <f t="shared" si="31"/>
        <v>0</v>
      </c>
      <c r="L95" s="43"/>
      <c r="M95" s="150"/>
    </row>
    <row r="96" spans="1:13" s="13" customFormat="1" x14ac:dyDescent="0.2">
      <c r="A96" s="36">
        <f>IF(F96&lt;&gt;"",1+MAX($A$1:A95),"")</f>
        <v>59</v>
      </c>
      <c r="B96" s="37" t="s">
        <v>267</v>
      </c>
      <c r="C96" s="64" t="s">
        <v>289</v>
      </c>
      <c r="D96" s="64"/>
      <c r="E96" s="46" t="s">
        <v>260</v>
      </c>
      <c r="F96" s="52">
        <f>20*3*5/27</f>
        <v>11.111111111111111</v>
      </c>
      <c r="G96" s="48">
        <v>0.1</v>
      </c>
      <c r="H96" s="41">
        <f t="shared" si="30"/>
        <v>12.222222222222223</v>
      </c>
      <c r="I96" s="37" t="s">
        <v>257</v>
      </c>
      <c r="J96" s="53">
        <f>J$20</f>
        <v>0</v>
      </c>
      <c r="K96" s="51">
        <f t="shared" si="31"/>
        <v>0</v>
      </c>
      <c r="L96" s="43"/>
      <c r="M96" s="150"/>
    </row>
    <row r="97" spans="1:13" s="13" customFormat="1" x14ac:dyDescent="0.2">
      <c r="A97" s="36">
        <f>IF(F97&lt;&gt;"",1+MAX($A$1:A96),"")</f>
        <v>60</v>
      </c>
      <c r="B97" s="37" t="s">
        <v>267</v>
      </c>
      <c r="C97" s="64" t="s">
        <v>289</v>
      </c>
      <c r="D97" s="64"/>
      <c r="E97" s="46" t="s">
        <v>261</v>
      </c>
      <c r="F97" s="52">
        <f>F96-F94-20*0.67*4/27</f>
        <v>7.6444444444444448</v>
      </c>
      <c r="G97" s="48">
        <v>0.1</v>
      </c>
      <c r="H97" s="41">
        <f t="shared" si="30"/>
        <v>8.4088888888888906</v>
      </c>
      <c r="I97" s="37" t="s">
        <v>257</v>
      </c>
      <c r="J97" s="53">
        <f>J$21</f>
        <v>0</v>
      </c>
      <c r="K97" s="51">
        <f t="shared" si="31"/>
        <v>0</v>
      </c>
      <c r="L97" s="43"/>
      <c r="M97" s="150"/>
    </row>
    <row r="98" spans="1:13" s="13" customFormat="1" x14ac:dyDescent="0.2">
      <c r="A98" s="36">
        <f>IF(F98&lt;&gt;"",1+MAX($A$1:A97),"")</f>
        <v>61</v>
      </c>
      <c r="B98" s="37" t="s">
        <v>267</v>
      </c>
      <c r="C98" s="64" t="s">
        <v>289</v>
      </c>
      <c r="D98" s="64"/>
      <c r="E98" s="46" t="s">
        <v>291</v>
      </c>
      <c r="F98" s="52">
        <f>(20/1+1)*2*0.668*1.2</f>
        <v>33.667200000000001</v>
      </c>
      <c r="G98" s="48">
        <v>0.1</v>
      </c>
      <c r="H98" s="41">
        <f t="shared" si="30"/>
        <v>37.033920000000002</v>
      </c>
      <c r="I98" s="37" t="s">
        <v>271</v>
      </c>
      <c r="J98" s="53">
        <f t="shared" ref="J98:J100" si="32">J$22</f>
        <v>0</v>
      </c>
      <c r="K98" s="51">
        <f t="shared" si="31"/>
        <v>0</v>
      </c>
      <c r="L98" s="43"/>
      <c r="M98" s="150"/>
    </row>
    <row r="99" spans="1:13" s="13" customFormat="1" x14ac:dyDescent="0.2">
      <c r="A99" s="36">
        <f>IF(F99&lt;&gt;"",1+MAX($A$1:A98),"")</f>
        <v>62</v>
      </c>
      <c r="B99" s="37" t="s">
        <v>267</v>
      </c>
      <c r="C99" s="64" t="s">
        <v>289</v>
      </c>
      <c r="D99" s="64"/>
      <c r="E99" s="46" t="s">
        <v>292</v>
      </c>
      <c r="F99" s="52">
        <f>4*20*0.668*1.2</f>
        <v>64.128</v>
      </c>
      <c r="G99" s="48">
        <v>0.1</v>
      </c>
      <c r="H99" s="41">
        <f t="shared" si="30"/>
        <v>70.540800000000004</v>
      </c>
      <c r="I99" s="37" t="s">
        <v>271</v>
      </c>
      <c r="J99" s="53">
        <f t="shared" si="32"/>
        <v>0</v>
      </c>
      <c r="K99" s="51">
        <f t="shared" si="31"/>
        <v>0</v>
      </c>
      <c r="L99" s="43"/>
      <c r="M99" s="150"/>
    </row>
    <row r="100" spans="1:13" s="13" customFormat="1" x14ac:dyDescent="0.2">
      <c r="A100" s="36">
        <f>IF(F100&lt;&gt;"",1+MAX($A$1:A99),"")</f>
        <v>63</v>
      </c>
      <c r="B100" s="37" t="s">
        <v>267</v>
      </c>
      <c r="C100" s="64" t="s">
        <v>289</v>
      </c>
      <c r="D100" s="64"/>
      <c r="E100" s="46" t="s">
        <v>294</v>
      </c>
      <c r="F100" s="52">
        <f>(20/4+1)*5.25*0.668*1.2</f>
        <v>25.250400000000003</v>
      </c>
      <c r="G100" s="48">
        <v>0.1</v>
      </c>
      <c r="H100" s="41">
        <f t="shared" si="30"/>
        <v>27.775440000000007</v>
      </c>
      <c r="I100" s="37" t="s">
        <v>271</v>
      </c>
      <c r="J100" s="53">
        <f t="shared" si="32"/>
        <v>0</v>
      </c>
      <c r="K100" s="51">
        <f t="shared" si="31"/>
        <v>0</v>
      </c>
      <c r="L100" s="43"/>
      <c r="M100" s="150"/>
    </row>
    <row r="101" spans="1:13" s="13" customFormat="1" x14ac:dyDescent="0.2">
      <c r="A101" s="36" t="str">
        <f>IF(F101&lt;&gt;"",1+MAX($A$1:A100),"")</f>
        <v/>
      </c>
      <c r="B101" s="37"/>
      <c r="C101" s="64"/>
      <c r="D101" s="64"/>
      <c r="E101" s="46"/>
      <c r="F101" s="52"/>
      <c r="G101" s="54"/>
      <c r="H101" s="41"/>
      <c r="I101" s="37"/>
      <c r="J101" s="53"/>
      <c r="K101" s="51"/>
      <c r="L101" s="43"/>
      <c r="M101" s="150"/>
    </row>
    <row r="102" spans="1:13" s="13" customFormat="1" ht="63" x14ac:dyDescent="0.2">
      <c r="A102" s="36" t="str">
        <f>IF(F102&lt;&gt;"",1+MAX($A$1:A101),"")</f>
        <v/>
      </c>
      <c r="B102" s="37"/>
      <c r="C102" s="64"/>
      <c r="D102" s="64"/>
      <c r="E102" s="65" t="s">
        <v>297</v>
      </c>
      <c r="F102" s="52"/>
      <c r="G102" s="54"/>
      <c r="H102" s="41"/>
      <c r="I102" s="37"/>
      <c r="J102" s="53"/>
      <c r="K102" s="51"/>
      <c r="L102" s="43"/>
      <c r="M102" s="150"/>
    </row>
    <row r="103" spans="1:13" s="13" customFormat="1" x14ac:dyDescent="0.2">
      <c r="A103" s="36">
        <f>IF(F103&lt;&gt;"",1+MAX($A$1:A102),"")</f>
        <v>64</v>
      </c>
      <c r="B103" s="37" t="s">
        <v>267</v>
      </c>
      <c r="C103" s="64" t="s">
        <v>289</v>
      </c>
      <c r="D103" s="71"/>
      <c r="E103" s="46" t="s">
        <v>258</v>
      </c>
      <c r="F103" s="52">
        <f>19*2*1/27</f>
        <v>1.4074074074074074</v>
      </c>
      <c r="G103" s="48">
        <v>0.1</v>
      </c>
      <c r="H103" s="41">
        <f t="shared" ref="H103:H109" si="33">F103*(1+G103)</f>
        <v>1.5481481481481483</v>
      </c>
      <c r="I103" s="37" t="s">
        <v>257</v>
      </c>
      <c r="J103" s="53">
        <f>J$18</f>
        <v>0</v>
      </c>
      <c r="K103" s="51">
        <f t="shared" ref="K103:K109" si="34">J103*H103</f>
        <v>0</v>
      </c>
      <c r="L103" s="43"/>
      <c r="M103" s="150"/>
    </row>
    <row r="104" spans="1:13" s="13" customFormat="1" x14ac:dyDescent="0.2">
      <c r="A104" s="36">
        <f>IF(F104&lt;&gt;"",1+MAX($A$1:A103),"")</f>
        <v>65</v>
      </c>
      <c r="B104" s="37" t="s">
        <v>267</v>
      </c>
      <c r="C104" s="64" t="s">
        <v>289</v>
      </c>
      <c r="D104" s="64"/>
      <c r="E104" s="46" t="s">
        <v>290</v>
      </c>
      <c r="F104" s="52">
        <f>19*1*2</f>
        <v>38</v>
      </c>
      <c r="G104" s="48">
        <v>0.1</v>
      </c>
      <c r="H104" s="41">
        <f t="shared" si="33"/>
        <v>41.800000000000004</v>
      </c>
      <c r="I104" s="37" t="s">
        <v>259</v>
      </c>
      <c r="J104" s="53">
        <f>J$75</f>
        <v>0</v>
      </c>
      <c r="K104" s="51">
        <f t="shared" si="34"/>
        <v>0</v>
      </c>
      <c r="L104" s="43"/>
      <c r="M104" s="150"/>
    </row>
    <row r="105" spans="1:13" s="13" customFormat="1" x14ac:dyDescent="0.2">
      <c r="A105" s="36">
        <f>IF(F105&lt;&gt;"",1+MAX($A$1:A104),"")</f>
        <v>66</v>
      </c>
      <c r="B105" s="37" t="s">
        <v>267</v>
      </c>
      <c r="C105" s="64" t="s">
        <v>289</v>
      </c>
      <c r="D105" s="64"/>
      <c r="E105" s="46" t="s">
        <v>260</v>
      </c>
      <c r="F105" s="52">
        <f>19*3*5.67/27</f>
        <v>11.97</v>
      </c>
      <c r="G105" s="48">
        <v>0.1</v>
      </c>
      <c r="H105" s="41">
        <f t="shared" si="33"/>
        <v>13.167000000000002</v>
      </c>
      <c r="I105" s="37" t="s">
        <v>257</v>
      </c>
      <c r="J105" s="53">
        <f>J$20</f>
        <v>0</v>
      </c>
      <c r="K105" s="51">
        <f t="shared" si="34"/>
        <v>0</v>
      </c>
      <c r="L105" s="43"/>
      <c r="M105" s="150"/>
    </row>
    <row r="106" spans="1:13" s="13" customFormat="1" x14ac:dyDescent="0.2">
      <c r="A106" s="36">
        <f>IF(F106&lt;&gt;"",1+MAX($A$1:A105),"")</f>
        <v>67</v>
      </c>
      <c r="B106" s="37" t="s">
        <v>267</v>
      </c>
      <c r="C106" s="64" t="s">
        <v>289</v>
      </c>
      <c r="D106" s="64"/>
      <c r="E106" s="46" t="s">
        <v>261</v>
      </c>
      <c r="F106" s="52">
        <f>F105-F103-19*0.67*4.67/27</f>
        <v>8.3607740740740759</v>
      </c>
      <c r="G106" s="48">
        <v>0.1</v>
      </c>
      <c r="H106" s="41">
        <f t="shared" si="33"/>
        <v>9.1968514814814846</v>
      </c>
      <c r="I106" s="37" t="s">
        <v>257</v>
      </c>
      <c r="J106" s="53">
        <f>J$21</f>
        <v>0</v>
      </c>
      <c r="K106" s="51">
        <f t="shared" si="34"/>
        <v>0</v>
      </c>
      <c r="L106" s="43"/>
      <c r="M106" s="150"/>
    </row>
    <row r="107" spans="1:13" s="13" customFormat="1" x14ac:dyDescent="0.2">
      <c r="A107" s="36">
        <f>IF(F107&lt;&gt;"",1+MAX($A$1:A106),"")</f>
        <v>68</v>
      </c>
      <c r="B107" s="37" t="s">
        <v>267</v>
      </c>
      <c r="C107" s="64" t="s">
        <v>289</v>
      </c>
      <c r="D107" s="64"/>
      <c r="E107" s="46" t="s">
        <v>291</v>
      </c>
      <c r="F107" s="52">
        <f>(19/1+1)*2*0.668*1.2</f>
        <v>32.064</v>
      </c>
      <c r="G107" s="48">
        <v>0.1</v>
      </c>
      <c r="H107" s="41">
        <f t="shared" si="33"/>
        <v>35.270400000000002</v>
      </c>
      <c r="I107" s="37" t="s">
        <v>271</v>
      </c>
      <c r="J107" s="53">
        <f t="shared" ref="J107:J109" si="35">J$22</f>
        <v>0</v>
      </c>
      <c r="K107" s="51">
        <f t="shared" si="34"/>
        <v>0</v>
      </c>
      <c r="L107" s="43"/>
      <c r="M107" s="150"/>
    </row>
    <row r="108" spans="1:13" s="13" customFormat="1" x14ac:dyDescent="0.2">
      <c r="A108" s="36">
        <f>IF(F108&lt;&gt;"",1+MAX($A$1:A107),"")</f>
        <v>69</v>
      </c>
      <c r="B108" s="37" t="s">
        <v>267</v>
      </c>
      <c r="C108" s="64" t="s">
        <v>289</v>
      </c>
      <c r="D108" s="64"/>
      <c r="E108" s="46" t="s">
        <v>292</v>
      </c>
      <c r="F108" s="52">
        <f>4*19*0.668*1.2</f>
        <v>60.921599999999998</v>
      </c>
      <c r="G108" s="48">
        <v>0.1</v>
      </c>
      <c r="H108" s="41">
        <f t="shared" si="33"/>
        <v>67.013760000000005</v>
      </c>
      <c r="I108" s="37" t="s">
        <v>271</v>
      </c>
      <c r="J108" s="53">
        <f t="shared" si="35"/>
        <v>0</v>
      </c>
      <c r="K108" s="51">
        <f t="shared" si="34"/>
        <v>0</v>
      </c>
      <c r="L108" s="43"/>
      <c r="M108" s="150"/>
    </row>
    <row r="109" spans="1:13" s="13" customFormat="1" x14ac:dyDescent="0.2">
      <c r="A109" s="36">
        <f>IF(F109&lt;&gt;"",1+MAX($A$1:A108),"")</f>
        <v>70</v>
      </c>
      <c r="B109" s="37" t="s">
        <v>267</v>
      </c>
      <c r="C109" s="64" t="s">
        <v>289</v>
      </c>
      <c r="D109" s="64"/>
      <c r="E109" s="46" t="s">
        <v>294</v>
      </c>
      <c r="F109" s="52">
        <f>(19/4+1)*6*0.668*1.2</f>
        <v>27.655200000000004</v>
      </c>
      <c r="G109" s="48">
        <v>0.1</v>
      </c>
      <c r="H109" s="41">
        <f t="shared" si="33"/>
        <v>30.420720000000006</v>
      </c>
      <c r="I109" s="37" t="s">
        <v>271</v>
      </c>
      <c r="J109" s="53">
        <f t="shared" si="35"/>
        <v>0</v>
      </c>
      <c r="K109" s="51">
        <f t="shared" si="34"/>
        <v>0</v>
      </c>
      <c r="L109" s="43"/>
      <c r="M109" s="150"/>
    </row>
    <row r="110" spans="1:13" s="13" customFormat="1" x14ac:dyDescent="0.2">
      <c r="A110" s="36" t="str">
        <f>IF(F110&lt;&gt;"",1+MAX($A$1:A109),"")</f>
        <v/>
      </c>
      <c r="B110" s="37"/>
      <c r="C110" s="64"/>
      <c r="D110" s="64"/>
      <c r="E110" s="46"/>
      <c r="F110" s="52"/>
      <c r="G110" s="54"/>
      <c r="H110" s="41"/>
      <c r="I110" s="37"/>
      <c r="J110" s="53"/>
      <c r="K110" s="51"/>
      <c r="L110" s="43"/>
      <c r="M110" s="150"/>
    </row>
    <row r="111" spans="1:13" s="13" customFormat="1" ht="63" x14ac:dyDescent="0.2">
      <c r="A111" s="36" t="str">
        <f>IF(F111&lt;&gt;"",1+MAX($A$1:A110),"")</f>
        <v/>
      </c>
      <c r="B111" s="37"/>
      <c r="C111" s="64"/>
      <c r="D111" s="64"/>
      <c r="E111" s="65" t="s">
        <v>298</v>
      </c>
      <c r="F111" s="52"/>
      <c r="G111" s="54"/>
      <c r="H111" s="41"/>
      <c r="I111" s="37"/>
      <c r="J111" s="53"/>
      <c r="K111" s="51"/>
      <c r="L111" s="43"/>
      <c r="M111" s="150"/>
    </row>
    <row r="112" spans="1:13" s="13" customFormat="1" x14ac:dyDescent="0.2">
      <c r="A112" s="36">
        <f>IF(F112&lt;&gt;"",1+MAX($A$1:A111),"")</f>
        <v>71</v>
      </c>
      <c r="B112" s="37" t="s">
        <v>267</v>
      </c>
      <c r="C112" s="64" t="s">
        <v>289</v>
      </c>
      <c r="D112" s="71"/>
      <c r="E112" s="46" t="s">
        <v>258</v>
      </c>
      <c r="F112" s="52">
        <f>58*2*1/27</f>
        <v>4.2962962962962967</v>
      </c>
      <c r="G112" s="48">
        <v>0.1</v>
      </c>
      <c r="H112" s="41">
        <f t="shared" ref="H112:H118" si="36">F112*(1+G112)</f>
        <v>4.7259259259259272</v>
      </c>
      <c r="I112" s="37" t="s">
        <v>257</v>
      </c>
      <c r="J112" s="53">
        <f>J$18</f>
        <v>0</v>
      </c>
      <c r="K112" s="51">
        <f t="shared" ref="K112:K118" si="37">J112*H112</f>
        <v>0</v>
      </c>
      <c r="L112" s="43"/>
      <c r="M112" s="150"/>
    </row>
    <row r="113" spans="1:13" s="13" customFormat="1" x14ac:dyDescent="0.2">
      <c r="A113" s="36">
        <f>IF(F113&lt;&gt;"",1+MAX($A$1:A112),"")</f>
        <v>72</v>
      </c>
      <c r="B113" s="37" t="s">
        <v>267</v>
      </c>
      <c r="C113" s="64" t="s">
        <v>289</v>
      </c>
      <c r="D113" s="64"/>
      <c r="E113" s="46" t="s">
        <v>290</v>
      </c>
      <c r="F113" s="52">
        <f>58*1*2</f>
        <v>116</v>
      </c>
      <c r="G113" s="48">
        <v>0.1</v>
      </c>
      <c r="H113" s="41">
        <f t="shared" si="36"/>
        <v>127.60000000000001</v>
      </c>
      <c r="I113" s="37" t="s">
        <v>259</v>
      </c>
      <c r="J113" s="53">
        <f>J$75</f>
        <v>0</v>
      </c>
      <c r="K113" s="51">
        <f t="shared" si="37"/>
        <v>0</v>
      </c>
      <c r="L113" s="43"/>
      <c r="M113" s="150"/>
    </row>
    <row r="114" spans="1:13" s="13" customFormat="1" x14ac:dyDescent="0.2">
      <c r="A114" s="36">
        <f>IF(F114&lt;&gt;"",1+MAX($A$1:A113),"")</f>
        <v>73</v>
      </c>
      <c r="B114" s="37" t="s">
        <v>267</v>
      </c>
      <c r="C114" s="64" t="s">
        <v>289</v>
      </c>
      <c r="D114" s="64"/>
      <c r="E114" s="46" t="s">
        <v>260</v>
      </c>
      <c r="F114" s="52">
        <f>58*3*6.34/27</f>
        <v>40.857777777777784</v>
      </c>
      <c r="G114" s="48">
        <v>0.1</v>
      </c>
      <c r="H114" s="41">
        <f t="shared" si="36"/>
        <v>44.943555555555569</v>
      </c>
      <c r="I114" s="37" t="s">
        <v>257</v>
      </c>
      <c r="J114" s="53">
        <f>J$20</f>
        <v>0</v>
      </c>
      <c r="K114" s="51">
        <f t="shared" si="37"/>
        <v>0</v>
      </c>
      <c r="L114" s="43"/>
      <c r="M114" s="150"/>
    </row>
    <row r="115" spans="1:13" s="13" customFormat="1" x14ac:dyDescent="0.2">
      <c r="A115" s="36">
        <f>IF(F115&lt;&gt;"",1+MAX($A$1:A114),"")</f>
        <v>74</v>
      </c>
      <c r="B115" s="37" t="s">
        <v>267</v>
      </c>
      <c r="C115" s="64" t="s">
        <v>289</v>
      </c>
      <c r="D115" s="64"/>
      <c r="E115" s="46" t="s">
        <v>261</v>
      </c>
      <c r="F115" s="52">
        <f>F114-F112-58*0.67*5.34/27</f>
        <v>28.875837037037044</v>
      </c>
      <c r="G115" s="48">
        <v>0.1</v>
      </c>
      <c r="H115" s="41">
        <f t="shared" si="36"/>
        <v>31.763420740740752</v>
      </c>
      <c r="I115" s="37" t="s">
        <v>257</v>
      </c>
      <c r="J115" s="53">
        <f>J$21</f>
        <v>0</v>
      </c>
      <c r="K115" s="51">
        <f t="shared" si="37"/>
        <v>0</v>
      </c>
      <c r="L115" s="43"/>
      <c r="M115" s="150"/>
    </row>
    <row r="116" spans="1:13" s="13" customFormat="1" x14ac:dyDescent="0.2">
      <c r="A116" s="36">
        <f>IF(F116&lt;&gt;"",1+MAX($A$1:A115),"")</f>
        <v>75</v>
      </c>
      <c r="B116" s="37" t="s">
        <v>267</v>
      </c>
      <c r="C116" s="64" t="s">
        <v>289</v>
      </c>
      <c r="D116" s="64"/>
      <c r="E116" s="46" t="s">
        <v>291</v>
      </c>
      <c r="F116" s="52">
        <f>(58/1+1)*2*0.668*1.2</f>
        <v>94.588799999999992</v>
      </c>
      <c r="G116" s="48">
        <v>0.1</v>
      </c>
      <c r="H116" s="41">
        <f t="shared" si="36"/>
        <v>104.04768</v>
      </c>
      <c r="I116" s="37" t="s">
        <v>271</v>
      </c>
      <c r="J116" s="53">
        <f t="shared" ref="J116:J118" si="38">J$22</f>
        <v>0</v>
      </c>
      <c r="K116" s="51">
        <f t="shared" si="37"/>
        <v>0</v>
      </c>
      <c r="L116" s="43"/>
      <c r="M116" s="150"/>
    </row>
    <row r="117" spans="1:13" s="13" customFormat="1" x14ac:dyDescent="0.2">
      <c r="A117" s="36">
        <f>IF(F117&lt;&gt;"",1+MAX($A$1:A116),"")</f>
        <v>76</v>
      </c>
      <c r="B117" s="37" t="s">
        <v>267</v>
      </c>
      <c r="C117" s="64" t="s">
        <v>289</v>
      </c>
      <c r="D117" s="64"/>
      <c r="E117" s="46" t="s">
        <v>292</v>
      </c>
      <c r="F117" s="52">
        <f>4*58*0.668*1.2</f>
        <v>185.97119999999998</v>
      </c>
      <c r="G117" s="48">
        <v>0.1</v>
      </c>
      <c r="H117" s="41">
        <f t="shared" si="36"/>
        <v>204.56832</v>
      </c>
      <c r="I117" s="37" t="s">
        <v>271</v>
      </c>
      <c r="J117" s="53">
        <f t="shared" si="38"/>
        <v>0</v>
      </c>
      <c r="K117" s="51">
        <f t="shared" si="37"/>
        <v>0</v>
      </c>
      <c r="L117" s="43"/>
      <c r="M117" s="150"/>
    </row>
    <row r="118" spans="1:13" s="13" customFormat="1" x14ac:dyDescent="0.2">
      <c r="A118" s="36">
        <f>IF(F118&lt;&gt;"",1+MAX($A$1:A117),"")</f>
        <v>77</v>
      </c>
      <c r="B118" s="37" t="s">
        <v>267</v>
      </c>
      <c r="C118" s="64" t="s">
        <v>289</v>
      </c>
      <c r="D118" s="64"/>
      <c r="E118" s="46" t="s">
        <v>294</v>
      </c>
      <c r="F118" s="52">
        <f>(58/4+1)*6.5*0.668*1.2</f>
        <v>80.761200000000002</v>
      </c>
      <c r="G118" s="48">
        <v>0.1</v>
      </c>
      <c r="H118" s="41">
        <f t="shared" si="36"/>
        <v>88.837320000000005</v>
      </c>
      <c r="I118" s="37" t="s">
        <v>271</v>
      </c>
      <c r="J118" s="53">
        <f t="shared" si="38"/>
        <v>0</v>
      </c>
      <c r="K118" s="51">
        <f t="shared" si="37"/>
        <v>0</v>
      </c>
      <c r="L118" s="43"/>
      <c r="M118" s="150"/>
    </row>
    <row r="119" spans="1:13" s="13" customFormat="1" x14ac:dyDescent="0.2">
      <c r="A119" s="36" t="str">
        <f>IF(F119&lt;&gt;"",1+MAX($A$1:A118),"")</f>
        <v/>
      </c>
      <c r="B119" s="37"/>
      <c r="C119" s="64"/>
      <c r="D119" s="64"/>
      <c r="E119" s="46"/>
      <c r="F119" s="52"/>
      <c r="G119" s="54"/>
      <c r="H119" s="41"/>
      <c r="I119" s="37"/>
      <c r="J119" s="53"/>
      <c r="K119" s="51"/>
      <c r="L119" s="43"/>
      <c r="M119" s="150"/>
    </row>
    <row r="120" spans="1:13" s="13" customFormat="1" ht="63" x14ac:dyDescent="0.2">
      <c r="A120" s="36" t="str">
        <f>IF(F120&lt;&gt;"",1+MAX($A$1:A119),"")</f>
        <v/>
      </c>
      <c r="B120" s="37"/>
      <c r="C120" s="64"/>
      <c r="D120" s="64"/>
      <c r="E120" s="65" t="s">
        <v>299</v>
      </c>
      <c r="F120" s="52"/>
      <c r="G120" s="54"/>
      <c r="H120" s="41"/>
      <c r="I120" s="37"/>
      <c r="J120" s="53"/>
      <c r="K120" s="51"/>
      <c r="L120" s="43"/>
      <c r="M120" s="150"/>
    </row>
    <row r="121" spans="1:13" s="13" customFormat="1" x14ac:dyDescent="0.2">
      <c r="A121" s="36">
        <f>IF(F121&lt;&gt;"",1+MAX($A$1:A120),"")</f>
        <v>78</v>
      </c>
      <c r="B121" s="37" t="s">
        <v>267</v>
      </c>
      <c r="C121" s="64" t="s">
        <v>289</v>
      </c>
      <c r="D121" s="71"/>
      <c r="E121" s="46" t="s">
        <v>258</v>
      </c>
      <c r="F121" s="52">
        <f>40*2*1/27</f>
        <v>2.9629629629629628</v>
      </c>
      <c r="G121" s="48">
        <v>0.1</v>
      </c>
      <c r="H121" s="41">
        <f t="shared" ref="H121:H128" si="39">F121*(1+G121)</f>
        <v>3.2592592592592595</v>
      </c>
      <c r="I121" s="37" t="s">
        <v>257</v>
      </c>
      <c r="J121" s="53">
        <f>J$18</f>
        <v>0</v>
      </c>
      <c r="K121" s="51">
        <f t="shared" ref="K121:K128" si="40">J121*H121</f>
        <v>0</v>
      </c>
      <c r="L121" s="43"/>
      <c r="M121" s="150"/>
    </row>
    <row r="122" spans="1:13" s="13" customFormat="1" x14ac:dyDescent="0.2">
      <c r="A122" s="36">
        <f>IF(F122&lt;&gt;"",1+MAX($A$1:A121),"")</f>
        <v>79</v>
      </c>
      <c r="B122" s="37" t="s">
        <v>267</v>
      </c>
      <c r="C122" s="64" t="s">
        <v>289</v>
      </c>
      <c r="D122" s="64"/>
      <c r="E122" s="46" t="s">
        <v>290</v>
      </c>
      <c r="F122" s="52">
        <f>40*1*2</f>
        <v>80</v>
      </c>
      <c r="G122" s="48">
        <v>0.1</v>
      </c>
      <c r="H122" s="41">
        <f t="shared" si="39"/>
        <v>88</v>
      </c>
      <c r="I122" s="37" t="s">
        <v>259</v>
      </c>
      <c r="J122" s="53">
        <f>J$75</f>
        <v>0</v>
      </c>
      <c r="K122" s="51">
        <f t="shared" si="40"/>
        <v>0</v>
      </c>
      <c r="L122" s="43"/>
      <c r="M122" s="150"/>
    </row>
    <row r="123" spans="1:13" s="13" customFormat="1" x14ac:dyDescent="0.2">
      <c r="A123" s="36">
        <f>IF(F123&lt;&gt;"",1+MAX($A$1:A122),"")</f>
        <v>80</v>
      </c>
      <c r="B123" s="37" t="s">
        <v>267</v>
      </c>
      <c r="C123" s="64" t="s">
        <v>289</v>
      </c>
      <c r="D123" s="64"/>
      <c r="E123" s="46" t="s">
        <v>260</v>
      </c>
      <c r="F123" s="52">
        <f>40*3*7/27</f>
        <v>31.111111111111111</v>
      </c>
      <c r="G123" s="48">
        <v>0.1</v>
      </c>
      <c r="H123" s="41">
        <f t="shared" si="39"/>
        <v>34.222222222222221</v>
      </c>
      <c r="I123" s="37" t="s">
        <v>257</v>
      </c>
      <c r="J123" s="53">
        <f>J$20</f>
        <v>0</v>
      </c>
      <c r="K123" s="51">
        <f t="shared" si="40"/>
        <v>0</v>
      </c>
      <c r="L123" s="43"/>
      <c r="M123" s="150"/>
    </row>
    <row r="124" spans="1:13" s="13" customFormat="1" x14ac:dyDescent="0.2">
      <c r="A124" s="36">
        <f>IF(F124&lt;&gt;"",1+MAX($A$1:A123),"")</f>
        <v>81</v>
      </c>
      <c r="B124" s="37" t="s">
        <v>267</v>
      </c>
      <c r="C124" s="64" t="s">
        <v>289</v>
      </c>
      <c r="D124" s="64"/>
      <c r="E124" s="46" t="s">
        <v>261</v>
      </c>
      <c r="F124" s="52">
        <f>F123-F121-40*0.67*6/27</f>
        <v>22.192592592592593</v>
      </c>
      <c r="G124" s="48">
        <v>0.1</v>
      </c>
      <c r="H124" s="41">
        <f t="shared" si="39"/>
        <v>24.411851851851853</v>
      </c>
      <c r="I124" s="37" t="s">
        <v>257</v>
      </c>
      <c r="J124" s="53">
        <f>J$21</f>
        <v>0</v>
      </c>
      <c r="K124" s="51">
        <f t="shared" si="40"/>
        <v>0</v>
      </c>
      <c r="L124" s="43"/>
      <c r="M124" s="150"/>
    </row>
    <row r="125" spans="1:13" s="13" customFormat="1" x14ac:dyDescent="0.2">
      <c r="A125" s="36">
        <f>IF(F125&lt;&gt;"",1+MAX($A$1:A124),"")</f>
        <v>82</v>
      </c>
      <c r="B125" s="37" t="s">
        <v>267</v>
      </c>
      <c r="C125" s="64" t="s">
        <v>289</v>
      </c>
      <c r="D125" s="64"/>
      <c r="E125" s="46" t="s">
        <v>291</v>
      </c>
      <c r="F125" s="52">
        <f>(40/1+1)*2*0.668*1.2</f>
        <v>65.731200000000001</v>
      </c>
      <c r="G125" s="48">
        <v>0.1</v>
      </c>
      <c r="H125" s="41">
        <f t="shared" si="39"/>
        <v>72.304320000000004</v>
      </c>
      <c r="I125" s="37" t="s">
        <v>271</v>
      </c>
      <c r="J125" s="53">
        <f t="shared" ref="J125:J127" si="41">J$22</f>
        <v>0</v>
      </c>
      <c r="K125" s="51">
        <f t="shared" si="40"/>
        <v>0</v>
      </c>
      <c r="L125" s="43"/>
      <c r="M125" s="150"/>
    </row>
    <row r="126" spans="1:13" s="13" customFormat="1" x14ac:dyDescent="0.2">
      <c r="A126" s="36">
        <f>IF(F126&lt;&gt;"",1+MAX($A$1:A125),"")</f>
        <v>83</v>
      </c>
      <c r="B126" s="37" t="s">
        <v>267</v>
      </c>
      <c r="C126" s="64" t="s">
        <v>289</v>
      </c>
      <c r="D126" s="64"/>
      <c r="E126" s="46" t="s">
        <v>292</v>
      </c>
      <c r="F126" s="52">
        <f>4*40*0.668*1.2</f>
        <v>128.256</v>
      </c>
      <c r="G126" s="48">
        <v>0.1</v>
      </c>
      <c r="H126" s="41">
        <f t="shared" si="39"/>
        <v>141.08160000000001</v>
      </c>
      <c r="I126" s="37" t="s">
        <v>271</v>
      </c>
      <c r="J126" s="53">
        <f t="shared" si="41"/>
        <v>0</v>
      </c>
      <c r="K126" s="51">
        <f t="shared" si="40"/>
        <v>0</v>
      </c>
      <c r="L126" s="43"/>
      <c r="M126" s="150"/>
    </row>
    <row r="127" spans="1:13" s="13" customFormat="1" x14ac:dyDescent="0.2">
      <c r="A127" s="36">
        <f>IF(F127&lt;&gt;"",1+MAX($A$1:A126),"")</f>
        <v>84</v>
      </c>
      <c r="B127" s="37" t="s">
        <v>267</v>
      </c>
      <c r="C127" s="64" t="s">
        <v>289</v>
      </c>
      <c r="D127" s="64"/>
      <c r="E127" s="46" t="s">
        <v>294</v>
      </c>
      <c r="F127" s="52">
        <f>(40/4+1)*8.25*0.668*1.2</f>
        <v>72.745199999999997</v>
      </c>
      <c r="G127" s="48">
        <v>0.1</v>
      </c>
      <c r="H127" s="41">
        <f t="shared" si="39"/>
        <v>80.019720000000007</v>
      </c>
      <c r="I127" s="37" t="s">
        <v>271</v>
      </c>
      <c r="J127" s="53">
        <f t="shared" si="41"/>
        <v>0</v>
      </c>
      <c r="K127" s="51">
        <f t="shared" si="40"/>
        <v>0</v>
      </c>
      <c r="L127" s="43"/>
      <c r="M127" s="150"/>
    </row>
    <row r="128" spans="1:13" s="13" customFormat="1" x14ac:dyDescent="0.2">
      <c r="A128" s="36">
        <f>IF(F128&lt;&gt;"",1+MAX($A$1:A127),"")</f>
        <v>85</v>
      </c>
      <c r="B128" s="37" t="s">
        <v>267</v>
      </c>
      <c r="C128" s="64" t="s">
        <v>289</v>
      </c>
      <c r="D128" s="64"/>
      <c r="E128" s="46" t="s">
        <v>300</v>
      </c>
      <c r="F128" s="52">
        <f>40*7*2</f>
        <v>560</v>
      </c>
      <c r="G128" s="48">
        <v>0.1</v>
      </c>
      <c r="H128" s="41">
        <f t="shared" si="39"/>
        <v>616</v>
      </c>
      <c r="I128" s="37" t="s">
        <v>16</v>
      </c>
      <c r="J128" s="53">
        <f>J$26</f>
        <v>0</v>
      </c>
      <c r="K128" s="51">
        <f t="shared" si="40"/>
        <v>0</v>
      </c>
      <c r="L128" s="43"/>
      <c r="M128" s="150"/>
    </row>
    <row r="129" spans="1:13" s="13" customFormat="1" x14ac:dyDescent="0.2">
      <c r="A129" s="36" t="str">
        <f>IF(F129&lt;&gt;"",1+MAX($A$1:A128),"")</f>
        <v/>
      </c>
      <c r="B129" s="37"/>
      <c r="C129" s="64"/>
      <c r="D129" s="64"/>
      <c r="E129" s="46"/>
      <c r="F129" s="52"/>
      <c r="G129" s="54"/>
      <c r="H129" s="41"/>
      <c r="I129" s="37"/>
      <c r="J129" s="53"/>
      <c r="K129" s="51"/>
      <c r="L129" s="43"/>
      <c r="M129" s="150"/>
    </row>
    <row r="130" spans="1:13" s="13" customFormat="1" ht="63" x14ac:dyDescent="0.2">
      <c r="A130" s="36" t="str">
        <f>IF(F130&lt;&gt;"",1+MAX($A$1:A129),"")</f>
        <v/>
      </c>
      <c r="B130" s="37"/>
      <c r="C130" s="64"/>
      <c r="D130" s="64"/>
      <c r="E130" s="65" t="s">
        <v>301</v>
      </c>
      <c r="F130" s="52"/>
      <c r="G130" s="54"/>
      <c r="H130" s="41"/>
      <c r="I130" s="37"/>
      <c r="J130" s="53"/>
      <c r="K130" s="51"/>
      <c r="L130" s="43"/>
      <c r="M130" s="150"/>
    </row>
    <row r="131" spans="1:13" s="13" customFormat="1" x14ac:dyDescent="0.2">
      <c r="A131" s="36">
        <f>IF(F131&lt;&gt;"",1+MAX($A$1:A130),"")</f>
        <v>86</v>
      </c>
      <c r="B131" s="37" t="s">
        <v>267</v>
      </c>
      <c r="C131" s="64" t="s">
        <v>289</v>
      </c>
      <c r="D131" s="71"/>
      <c r="E131" s="46" t="s">
        <v>258</v>
      </c>
      <c r="F131" s="52">
        <f>39*2*1/27</f>
        <v>2.8888888888888888</v>
      </c>
      <c r="G131" s="48">
        <v>0.1</v>
      </c>
      <c r="H131" s="41">
        <f t="shared" ref="H131:H138" si="42">F131*(1+G131)</f>
        <v>3.177777777777778</v>
      </c>
      <c r="I131" s="37" t="s">
        <v>257</v>
      </c>
      <c r="J131" s="53">
        <f>J$18</f>
        <v>0</v>
      </c>
      <c r="K131" s="51">
        <f t="shared" ref="K131:K138" si="43">J131*H131</f>
        <v>0</v>
      </c>
      <c r="L131" s="43"/>
      <c r="M131" s="150"/>
    </row>
    <row r="132" spans="1:13" s="13" customFormat="1" x14ac:dyDescent="0.2">
      <c r="A132" s="36">
        <f>IF(F132&lt;&gt;"",1+MAX($A$1:A131),"")</f>
        <v>87</v>
      </c>
      <c r="B132" s="37" t="s">
        <v>267</v>
      </c>
      <c r="C132" s="64" t="s">
        <v>289</v>
      </c>
      <c r="D132" s="64"/>
      <c r="E132" s="46" t="s">
        <v>290</v>
      </c>
      <c r="F132" s="52">
        <f>39*1*2</f>
        <v>78</v>
      </c>
      <c r="G132" s="48">
        <v>0.1</v>
      </c>
      <c r="H132" s="41">
        <f t="shared" si="42"/>
        <v>85.800000000000011</v>
      </c>
      <c r="I132" s="37" t="s">
        <v>259</v>
      </c>
      <c r="J132" s="53">
        <f>J$75</f>
        <v>0</v>
      </c>
      <c r="K132" s="51">
        <f t="shared" si="43"/>
        <v>0</v>
      </c>
      <c r="L132" s="43"/>
      <c r="M132" s="150"/>
    </row>
    <row r="133" spans="1:13" s="13" customFormat="1" x14ac:dyDescent="0.2">
      <c r="A133" s="36">
        <f>IF(F133&lt;&gt;"",1+MAX($A$1:A132),"")</f>
        <v>88</v>
      </c>
      <c r="B133" s="37" t="s">
        <v>267</v>
      </c>
      <c r="C133" s="64" t="s">
        <v>289</v>
      </c>
      <c r="D133" s="64"/>
      <c r="E133" s="46" t="s">
        <v>260</v>
      </c>
      <c r="F133" s="52">
        <f>39*3*7.67/27</f>
        <v>33.236666666666665</v>
      </c>
      <c r="G133" s="48">
        <v>0.1</v>
      </c>
      <c r="H133" s="41">
        <f t="shared" si="42"/>
        <v>36.560333333333332</v>
      </c>
      <c r="I133" s="37" t="s">
        <v>257</v>
      </c>
      <c r="J133" s="53">
        <f>J$20</f>
        <v>0</v>
      </c>
      <c r="K133" s="51">
        <f t="shared" si="43"/>
        <v>0</v>
      </c>
      <c r="L133" s="43"/>
      <c r="M133" s="150"/>
    </row>
    <row r="134" spans="1:13" s="13" customFormat="1" x14ac:dyDescent="0.2">
      <c r="A134" s="36">
        <f>IF(F134&lt;&gt;"",1+MAX($A$1:A133),"")</f>
        <v>89</v>
      </c>
      <c r="B134" s="37" t="s">
        <v>267</v>
      </c>
      <c r="C134" s="64" t="s">
        <v>289</v>
      </c>
      <c r="D134" s="64"/>
      <c r="E134" s="46" t="s">
        <v>261</v>
      </c>
      <c r="F134" s="52">
        <f>F133-F131-39*0.67*6.67/27</f>
        <v>23.892699999999998</v>
      </c>
      <c r="G134" s="48">
        <v>0.1</v>
      </c>
      <c r="H134" s="41">
        <f t="shared" si="42"/>
        <v>26.281970000000001</v>
      </c>
      <c r="I134" s="37" t="s">
        <v>257</v>
      </c>
      <c r="J134" s="53">
        <f>J$21</f>
        <v>0</v>
      </c>
      <c r="K134" s="51">
        <f t="shared" si="43"/>
        <v>0</v>
      </c>
      <c r="L134" s="43"/>
      <c r="M134" s="150"/>
    </row>
    <row r="135" spans="1:13" s="13" customFormat="1" x14ac:dyDescent="0.2">
      <c r="A135" s="36">
        <f>IF(F135&lt;&gt;"",1+MAX($A$1:A134),"")</f>
        <v>90</v>
      </c>
      <c r="B135" s="37" t="s">
        <v>267</v>
      </c>
      <c r="C135" s="64" t="s">
        <v>289</v>
      </c>
      <c r="D135" s="64"/>
      <c r="E135" s="46" t="s">
        <v>291</v>
      </c>
      <c r="F135" s="52">
        <f>(39/1+1)*2*0.668*1.2</f>
        <v>64.128</v>
      </c>
      <c r="G135" s="48">
        <v>0.1</v>
      </c>
      <c r="H135" s="41">
        <f t="shared" si="42"/>
        <v>70.540800000000004</v>
      </c>
      <c r="I135" s="37" t="s">
        <v>271</v>
      </c>
      <c r="J135" s="53">
        <f t="shared" ref="J135:J137" si="44">J$22</f>
        <v>0</v>
      </c>
      <c r="K135" s="51">
        <f t="shared" si="43"/>
        <v>0</v>
      </c>
      <c r="L135" s="43"/>
      <c r="M135" s="150"/>
    </row>
    <row r="136" spans="1:13" s="13" customFormat="1" x14ac:dyDescent="0.2">
      <c r="A136" s="36">
        <f>IF(F136&lt;&gt;"",1+MAX($A$1:A135),"")</f>
        <v>91</v>
      </c>
      <c r="B136" s="37" t="s">
        <v>267</v>
      </c>
      <c r="C136" s="64" t="s">
        <v>289</v>
      </c>
      <c r="D136" s="64"/>
      <c r="E136" s="46" t="s">
        <v>292</v>
      </c>
      <c r="F136" s="52">
        <f>4*39*0.668*1.2</f>
        <v>125.04960000000001</v>
      </c>
      <c r="G136" s="48">
        <v>0.1</v>
      </c>
      <c r="H136" s="41">
        <f t="shared" si="42"/>
        <v>137.55456000000004</v>
      </c>
      <c r="I136" s="37" t="s">
        <v>271</v>
      </c>
      <c r="J136" s="53">
        <f t="shared" si="44"/>
        <v>0</v>
      </c>
      <c r="K136" s="51">
        <f t="shared" si="43"/>
        <v>0</v>
      </c>
      <c r="L136" s="43"/>
      <c r="M136" s="150"/>
    </row>
    <row r="137" spans="1:13" s="13" customFormat="1" x14ac:dyDescent="0.2">
      <c r="A137" s="36">
        <f>IF(F137&lt;&gt;"",1+MAX($A$1:A136),"")</f>
        <v>92</v>
      </c>
      <c r="B137" s="37" t="s">
        <v>267</v>
      </c>
      <c r="C137" s="64" t="s">
        <v>289</v>
      </c>
      <c r="D137" s="64"/>
      <c r="E137" s="46" t="s">
        <v>294</v>
      </c>
      <c r="F137" s="52">
        <f>(39/4+1)*9*0.668*1.2</f>
        <v>77.5548</v>
      </c>
      <c r="G137" s="48">
        <v>0.1</v>
      </c>
      <c r="H137" s="41">
        <f t="shared" si="42"/>
        <v>85.310280000000006</v>
      </c>
      <c r="I137" s="37" t="s">
        <v>271</v>
      </c>
      <c r="J137" s="53">
        <f t="shared" si="44"/>
        <v>0</v>
      </c>
      <c r="K137" s="51">
        <f t="shared" si="43"/>
        <v>0</v>
      </c>
      <c r="L137" s="43"/>
      <c r="M137" s="150"/>
    </row>
    <row r="138" spans="1:13" s="13" customFormat="1" x14ac:dyDescent="0.2">
      <c r="A138" s="36">
        <f>IF(F138&lt;&gt;"",1+MAX($A$1:A137),"")</f>
        <v>93</v>
      </c>
      <c r="B138" s="37" t="s">
        <v>267</v>
      </c>
      <c r="C138" s="64" t="s">
        <v>289</v>
      </c>
      <c r="D138" s="64"/>
      <c r="E138" s="46" t="s">
        <v>300</v>
      </c>
      <c r="F138" s="52">
        <f>39*7.67*2</f>
        <v>598.26</v>
      </c>
      <c r="G138" s="48">
        <v>0.1</v>
      </c>
      <c r="H138" s="41">
        <f t="shared" si="42"/>
        <v>658.08600000000001</v>
      </c>
      <c r="I138" s="37" t="s">
        <v>16</v>
      </c>
      <c r="J138" s="53">
        <f>J$26</f>
        <v>0</v>
      </c>
      <c r="K138" s="51">
        <f t="shared" si="43"/>
        <v>0</v>
      </c>
      <c r="L138" s="43"/>
      <c r="M138" s="150"/>
    </row>
    <row r="139" spans="1:13" s="13" customFormat="1" x14ac:dyDescent="0.2">
      <c r="A139" s="36" t="str">
        <f>IF(F139&lt;&gt;"",1+MAX($A$1:A138),"")</f>
        <v/>
      </c>
      <c r="B139" s="37"/>
      <c r="C139" s="64"/>
      <c r="D139" s="64"/>
      <c r="E139" s="46"/>
      <c r="F139" s="52"/>
      <c r="G139" s="54"/>
      <c r="H139" s="41"/>
      <c r="I139" s="37"/>
      <c r="J139" s="53"/>
      <c r="K139" s="51"/>
      <c r="L139" s="43"/>
      <c r="M139" s="150"/>
    </row>
    <row r="140" spans="1:13" s="13" customFormat="1" x14ac:dyDescent="0.2">
      <c r="A140" s="36" t="str">
        <f>IF(F140&lt;&gt;"",1+MAX($A$1:A139),"")</f>
        <v/>
      </c>
      <c r="B140" s="37"/>
      <c r="C140" s="64"/>
      <c r="D140" s="64"/>
      <c r="E140" s="46"/>
      <c r="F140" s="52"/>
      <c r="G140" s="54"/>
      <c r="H140" s="41"/>
      <c r="I140" s="37"/>
      <c r="J140" s="53"/>
      <c r="K140" s="51"/>
      <c r="L140" s="43"/>
      <c r="M140" s="150"/>
    </row>
    <row r="141" spans="1:13" s="13" customFormat="1" ht="63" x14ac:dyDescent="0.2">
      <c r="A141" s="36" t="str">
        <f>IF(F141&lt;&gt;"",1+MAX($A$1:A140),"")</f>
        <v/>
      </c>
      <c r="B141" s="37"/>
      <c r="C141" s="64"/>
      <c r="D141" s="64"/>
      <c r="E141" s="65" t="s">
        <v>302</v>
      </c>
      <c r="F141" s="52"/>
      <c r="G141" s="54"/>
      <c r="H141" s="41"/>
      <c r="I141" s="37"/>
      <c r="J141" s="53"/>
      <c r="K141" s="51"/>
      <c r="L141" s="43"/>
      <c r="M141" s="150"/>
    </row>
    <row r="142" spans="1:13" s="13" customFormat="1" x14ac:dyDescent="0.2">
      <c r="A142" s="36">
        <f>IF(F142&lt;&gt;"",1+MAX($A$1:A141),"")</f>
        <v>94</v>
      </c>
      <c r="B142" s="37" t="s">
        <v>267</v>
      </c>
      <c r="C142" s="64" t="s">
        <v>289</v>
      </c>
      <c r="D142" s="71"/>
      <c r="E142" s="46" t="s">
        <v>258</v>
      </c>
      <c r="F142" s="52">
        <f>68*2*1/27</f>
        <v>5.0370370370370372</v>
      </c>
      <c r="G142" s="48">
        <v>0.1</v>
      </c>
      <c r="H142" s="41">
        <f t="shared" ref="H142:H148" si="45">F142*(1+G142)</f>
        <v>5.5407407407407412</v>
      </c>
      <c r="I142" s="37" t="s">
        <v>257</v>
      </c>
      <c r="J142" s="53">
        <f>J$18</f>
        <v>0</v>
      </c>
      <c r="K142" s="51">
        <f t="shared" ref="K142:K148" si="46">J142*H142</f>
        <v>0</v>
      </c>
      <c r="L142" s="43"/>
      <c r="M142" s="150"/>
    </row>
    <row r="143" spans="1:13" s="13" customFormat="1" x14ac:dyDescent="0.2">
      <c r="A143" s="36">
        <f>IF(F143&lt;&gt;"",1+MAX($A$1:A142),"")</f>
        <v>95</v>
      </c>
      <c r="B143" s="37" t="s">
        <v>267</v>
      </c>
      <c r="C143" s="64" t="s">
        <v>289</v>
      </c>
      <c r="D143" s="64"/>
      <c r="E143" s="46" t="s">
        <v>290</v>
      </c>
      <c r="F143" s="52">
        <f>68*1*2</f>
        <v>136</v>
      </c>
      <c r="G143" s="48">
        <v>0.1</v>
      </c>
      <c r="H143" s="41">
        <f t="shared" si="45"/>
        <v>149.60000000000002</v>
      </c>
      <c r="I143" s="37" t="s">
        <v>259</v>
      </c>
      <c r="J143" s="53">
        <f>J$75</f>
        <v>0</v>
      </c>
      <c r="K143" s="51">
        <f t="shared" si="46"/>
        <v>0</v>
      </c>
      <c r="L143" s="43"/>
      <c r="M143" s="150"/>
    </row>
    <row r="144" spans="1:13" s="13" customFormat="1" x14ac:dyDescent="0.2">
      <c r="A144" s="36">
        <f>IF(F144&lt;&gt;"",1+MAX($A$1:A143),"")</f>
        <v>96</v>
      </c>
      <c r="B144" s="37" t="s">
        <v>267</v>
      </c>
      <c r="C144" s="64" t="s">
        <v>289</v>
      </c>
      <c r="D144" s="64"/>
      <c r="E144" s="46" t="s">
        <v>260</v>
      </c>
      <c r="F144" s="52">
        <f>68*3*3.67/27</f>
        <v>27.728888888888886</v>
      </c>
      <c r="G144" s="48">
        <v>0.1</v>
      </c>
      <c r="H144" s="41">
        <f t="shared" si="45"/>
        <v>30.501777777777775</v>
      </c>
      <c r="I144" s="37" t="s">
        <v>257</v>
      </c>
      <c r="J144" s="53">
        <f>J$20</f>
        <v>0</v>
      </c>
      <c r="K144" s="51">
        <f t="shared" si="46"/>
        <v>0</v>
      </c>
      <c r="L144" s="43"/>
      <c r="M144" s="150"/>
    </row>
    <row r="145" spans="1:13" s="13" customFormat="1" x14ac:dyDescent="0.2">
      <c r="A145" s="36">
        <f>IF(F145&lt;&gt;"",1+MAX($A$1:A144),"")</f>
        <v>97</v>
      </c>
      <c r="B145" s="37" t="s">
        <v>267</v>
      </c>
      <c r="C145" s="64" t="s">
        <v>289</v>
      </c>
      <c r="D145" s="64"/>
      <c r="E145" s="46" t="s">
        <v>261</v>
      </c>
      <c r="F145" s="52">
        <f>F144-F142-68*0.67*2.67/27</f>
        <v>18.18647407407407</v>
      </c>
      <c r="G145" s="48">
        <v>0.1</v>
      </c>
      <c r="H145" s="41">
        <f t="shared" si="45"/>
        <v>20.005121481481478</v>
      </c>
      <c r="I145" s="37" t="s">
        <v>257</v>
      </c>
      <c r="J145" s="53">
        <f>J$21</f>
        <v>0</v>
      </c>
      <c r="K145" s="51">
        <f t="shared" si="46"/>
        <v>0</v>
      </c>
      <c r="L145" s="43"/>
      <c r="M145" s="150"/>
    </row>
    <row r="146" spans="1:13" s="13" customFormat="1" x14ac:dyDescent="0.2">
      <c r="A146" s="36">
        <f>IF(F146&lt;&gt;"",1+MAX($A$1:A145),"")</f>
        <v>98</v>
      </c>
      <c r="B146" s="37" t="s">
        <v>267</v>
      </c>
      <c r="C146" s="64" t="s">
        <v>289</v>
      </c>
      <c r="D146" s="64"/>
      <c r="E146" s="46" t="s">
        <v>291</v>
      </c>
      <c r="F146" s="52">
        <f>(68/1+1)*2*0.668*1.2</f>
        <v>110.62080000000002</v>
      </c>
      <c r="G146" s="48">
        <v>0.1</v>
      </c>
      <c r="H146" s="41">
        <f t="shared" si="45"/>
        <v>121.68288000000003</v>
      </c>
      <c r="I146" s="37" t="s">
        <v>271</v>
      </c>
      <c r="J146" s="53">
        <f t="shared" ref="J146:J148" si="47">J$22</f>
        <v>0</v>
      </c>
      <c r="K146" s="51">
        <f t="shared" si="46"/>
        <v>0</v>
      </c>
      <c r="L146" s="43"/>
      <c r="M146" s="150"/>
    </row>
    <row r="147" spans="1:13" s="13" customFormat="1" x14ac:dyDescent="0.2">
      <c r="A147" s="36">
        <f>IF(F147&lt;&gt;"",1+MAX($A$1:A146),"")</f>
        <v>99</v>
      </c>
      <c r="B147" s="37" t="s">
        <v>267</v>
      </c>
      <c r="C147" s="64" t="s">
        <v>289</v>
      </c>
      <c r="D147" s="64"/>
      <c r="E147" s="46" t="s">
        <v>292</v>
      </c>
      <c r="F147" s="52">
        <f>4*68*0.668*1.2</f>
        <v>218.0352</v>
      </c>
      <c r="G147" s="48">
        <v>0.1</v>
      </c>
      <c r="H147" s="41">
        <f t="shared" si="45"/>
        <v>239.83872000000002</v>
      </c>
      <c r="I147" s="37" t="s">
        <v>271</v>
      </c>
      <c r="J147" s="53">
        <f t="shared" si="47"/>
        <v>0</v>
      </c>
      <c r="K147" s="51">
        <f t="shared" si="46"/>
        <v>0</v>
      </c>
      <c r="L147" s="43"/>
      <c r="M147" s="150"/>
    </row>
    <row r="148" spans="1:13" s="13" customFormat="1" x14ac:dyDescent="0.2">
      <c r="A148" s="36">
        <f>IF(F148&lt;&gt;"",1+MAX($A$1:A147),"")</f>
        <v>100</v>
      </c>
      <c r="B148" s="37" t="s">
        <v>267</v>
      </c>
      <c r="C148" s="64" t="s">
        <v>289</v>
      </c>
      <c r="D148" s="64"/>
      <c r="E148" s="46" t="s">
        <v>294</v>
      </c>
      <c r="F148" s="52">
        <f>(68/4+1)*5*0.668*1.2</f>
        <v>72.144000000000005</v>
      </c>
      <c r="G148" s="48">
        <v>0.1</v>
      </c>
      <c r="H148" s="41">
        <f t="shared" si="45"/>
        <v>79.358400000000017</v>
      </c>
      <c r="I148" s="37" t="s">
        <v>271</v>
      </c>
      <c r="J148" s="53">
        <f t="shared" si="47"/>
        <v>0</v>
      </c>
      <c r="K148" s="51">
        <f t="shared" si="46"/>
        <v>0</v>
      </c>
      <c r="L148" s="43"/>
      <c r="M148" s="150"/>
    </row>
    <row r="149" spans="1:13" s="13" customFormat="1" x14ac:dyDescent="0.2">
      <c r="A149" s="36" t="str">
        <f>IF(F149&lt;&gt;"",1+MAX($A$1:A148),"")</f>
        <v/>
      </c>
      <c r="B149" s="37"/>
      <c r="C149" s="64"/>
      <c r="D149" s="64"/>
      <c r="E149" s="46"/>
      <c r="F149" s="52"/>
      <c r="G149" s="48"/>
      <c r="H149" s="41"/>
      <c r="I149" s="37"/>
      <c r="J149" s="53"/>
      <c r="K149" s="51"/>
      <c r="L149" s="43"/>
      <c r="M149" s="150"/>
    </row>
    <row r="150" spans="1:13" s="13" customFormat="1" ht="63" x14ac:dyDescent="0.2">
      <c r="A150" s="36" t="str">
        <f>IF(F150&lt;&gt;"",1+MAX($A$1:A149),"")</f>
        <v/>
      </c>
      <c r="B150" s="37"/>
      <c r="C150" s="64"/>
      <c r="D150" s="64"/>
      <c r="E150" s="65" t="s">
        <v>303</v>
      </c>
      <c r="F150" s="52"/>
      <c r="G150" s="54"/>
      <c r="H150" s="41"/>
      <c r="I150" s="37"/>
      <c r="J150" s="53"/>
      <c r="K150" s="51"/>
      <c r="L150" s="43"/>
      <c r="M150" s="150"/>
    </row>
    <row r="151" spans="1:13" s="13" customFormat="1" x14ac:dyDescent="0.2">
      <c r="A151" s="36">
        <f>IF(F151&lt;&gt;"",1+MAX($A$1:A150),"")</f>
        <v>101</v>
      </c>
      <c r="B151" s="37" t="s">
        <v>267</v>
      </c>
      <c r="C151" s="64" t="s">
        <v>289</v>
      </c>
      <c r="D151" s="71"/>
      <c r="E151" s="46" t="s">
        <v>258</v>
      </c>
      <c r="F151" s="52">
        <f>9*2*1/27</f>
        <v>0.66666666666666663</v>
      </c>
      <c r="G151" s="48">
        <v>0.1</v>
      </c>
      <c r="H151" s="41">
        <f t="shared" ref="H151:H157" si="48">F151*(1+G151)</f>
        <v>0.73333333333333339</v>
      </c>
      <c r="I151" s="37" t="s">
        <v>257</v>
      </c>
      <c r="J151" s="53">
        <f>J$18</f>
        <v>0</v>
      </c>
      <c r="K151" s="51">
        <f t="shared" ref="K151:K157" si="49">J151*H151</f>
        <v>0</v>
      </c>
      <c r="L151" s="43"/>
      <c r="M151" s="150"/>
    </row>
    <row r="152" spans="1:13" s="13" customFormat="1" x14ac:dyDescent="0.2">
      <c r="A152" s="36">
        <f>IF(F152&lt;&gt;"",1+MAX($A$1:A151),"")</f>
        <v>102</v>
      </c>
      <c r="B152" s="37" t="s">
        <v>267</v>
      </c>
      <c r="C152" s="64" t="s">
        <v>289</v>
      </c>
      <c r="D152" s="64"/>
      <c r="E152" s="46" t="s">
        <v>290</v>
      </c>
      <c r="F152" s="52">
        <f>9*1*2</f>
        <v>18</v>
      </c>
      <c r="G152" s="48">
        <v>0.1</v>
      </c>
      <c r="H152" s="41">
        <f t="shared" si="48"/>
        <v>19.8</v>
      </c>
      <c r="I152" s="37" t="s">
        <v>259</v>
      </c>
      <c r="J152" s="53">
        <f>J$75</f>
        <v>0</v>
      </c>
      <c r="K152" s="51">
        <f t="shared" si="49"/>
        <v>0</v>
      </c>
      <c r="L152" s="43"/>
      <c r="M152" s="150"/>
    </row>
    <row r="153" spans="1:13" s="13" customFormat="1" x14ac:dyDescent="0.2">
      <c r="A153" s="36">
        <f>IF(F153&lt;&gt;"",1+MAX($A$1:A152),"")</f>
        <v>103</v>
      </c>
      <c r="B153" s="37" t="s">
        <v>267</v>
      </c>
      <c r="C153" s="64" t="s">
        <v>289</v>
      </c>
      <c r="D153" s="64"/>
      <c r="E153" s="46" t="s">
        <v>260</v>
      </c>
      <c r="F153" s="52">
        <f>9*3*5/27</f>
        <v>5</v>
      </c>
      <c r="G153" s="48">
        <v>0.1</v>
      </c>
      <c r="H153" s="41">
        <f t="shared" si="48"/>
        <v>5.5</v>
      </c>
      <c r="I153" s="37" t="s">
        <v>257</v>
      </c>
      <c r="J153" s="53">
        <f>J$20</f>
        <v>0</v>
      </c>
      <c r="K153" s="51">
        <f t="shared" si="49"/>
        <v>0</v>
      </c>
      <c r="L153" s="43"/>
      <c r="M153" s="150"/>
    </row>
    <row r="154" spans="1:13" s="13" customFormat="1" x14ac:dyDescent="0.2">
      <c r="A154" s="36">
        <f>IF(F154&lt;&gt;"",1+MAX($A$1:A153),"")</f>
        <v>104</v>
      </c>
      <c r="B154" s="37" t="s">
        <v>267</v>
      </c>
      <c r="C154" s="64" t="s">
        <v>289</v>
      </c>
      <c r="D154" s="64"/>
      <c r="E154" s="46" t="s">
        <v>261</v>
      </c>
      <c r="F154" s="52">
        <f>F153-F151-9*0.67*4/27</f>
        <v>3.4399999999999995</v>
      </c>
      <c r="G154" s="48">
        <v>0.1</v>
      </c>
      <c r="H154" s="41">
        <f t="shared" si="48"/>
        <v>3.7839999999999998</v>
      </c>
      <c r="I154" s="37" t="s">
        <v>257</v>
      </c>
      <c r="J154" s="53">
        <f>J$21</f>
        <v>0</v>
      </c>
      <c r="K154" s="51">
        <f t="shared" si="49"/>
        <v>0</v>
      </c>
      <c r="L154" s="43"/>
      <c r="M154" s="150"/>
    </row>
    <row r="155" spans="1:13" s="13" customFormat="1" x14ac:dyDescent="0.2">
      <c r="A155" s="36">
        <f>IF(F155&lt;&gt;"",1+MAX($A$1:A154),"")</f>
        <v>105</v>
      </c>
      <c r="B155" s="37" t="s">
        <v>267</v>
      </c>
      <c r="C155" s="64" t="s">
        <v>289</v>
      </c>
      <c r="D155" s="64"/>
      <c r="E155" s="46" t="s">
        <v>291</v>
      </c>
      <c r="F155" s="52">
        <f>(9/1+1)*2*0.668*1.2</f>
        <v>16.032</v>
      </c>
      <c r="G155" s="48">
        <v>0.1</v>
      </c>
      <c r="H155" s="41">
        <f t="shared" si="48"/>
        <v>17.635200000000001</v>
      </c>
      <c r="I155" s="37" t="s">
        <v>271</v>
      </c>
      <c r="J155" s="53">
        <f t="shared" ref="J155:J157" si="50">J$22</f>
        <v>0</v>
      </c>
      <c r="K155" s="51">
        <f t="shared" si="49"/>
        <v>0</v>
      </c>
      <c r="L155" s="43"/>
      <c r="M155" s="150"/>
    </row>
    <row r="156" spans="1:13" s="13" customFormat="1" x14ac:dyDescent="0.2">
      <c r="A156" s="36">
        <f>IF(F156&lt;&gt;"",1+MAX($A$1:A155),"")</f>
        <v>106</v>
      </c>
      <c r="B156" s="37" t="s">
        <v>267</v>
      </c>
      <c r="C156" s="64" t="s">
        <v>289</v>
      </c>
      <c r="D156" s="64"/>
      <c r="E156" s="46" t="s">
        <v>292</v>
      </c>
      <c r="F156" s="52">
        <f>4*9*0.668*1.2</f>
        <v>28.857600000000001</v>
      </c>
      <c r="G156" s="48">
        <v>0.1</v>
      </c>
      <c r="H156" s="41">
        <f t="shared" si="48"/>
        <v>31.743360000000003</v>
      </c>
      <c r="I156" s="37" t="s">
        <v>271</v>
      </c>
      <c r="J156" s="53">
        <f t="shared" si="50"/>
        <v>0</v>
      </c>
      <c r="K156" s="51">
        <f t="shared" si="49"/>
        <v>0</v>
      </c>
      <c r="L156" s="43"/>
      <c r="M156" s="150"/>
    </row>
    <row r="157" spans="1:13" s="13" customFormat="1" x14ac:dyDescent="0.2">
      <c r="A157" s="36">
        <f>IF(F157&lt;&gt;"",1+MAX($A$1:A156),"")</f>
        <v>107</v>
      </c>
      <c r="B157" s="37" t="s">
        <v>267</v>
      </c>
      <c r="C157" s="64" t="s">
        <v>289</v>
      </c>
      <c r="D157" s="64"/>
      <c r="E157" s="46" t="s">
        <v>294</v>
      </c>
      <c r="F157" s="52">
        <f>(9/4+1)*6.25*0.668*1.2</f>
        <v>16.282500000000002</v>
      </c>
      <c r="G157" s="48">
        <v>0.1</v>
      </c>
      <c r="H157" s="41">
        <f t="shared" si="48"/>
        <v>17.910750000000004</v>
      </c>
      <c r="I157" s="37" t="s">
        <v>271</v>
      </c>
      <c r="J157" s="53">
        <f t="shared" si="50"/>
        <v>0</v>
      </c>
      <c r="K157" s="51">
        <f t="shared" si="49"/>
        <v>0</v>
      </c>
      <c r="L157" s="43"/>
      <c r="M157" s="150"/>
    </row>
    <row r="158" spans="1:13" s="13" customFormat="1" x14ac:dyDescent="0.2">
      <c r="A158" s="36" t="str">
        <f>IF(F158&lt;&gt;"",1+MAX($A$1:A157),"")</f>
        <v/>
      </c>
      <c r="B158" s="37"/>
      <c r="C158" s="64"/>
      <c r="D158" s="64"/>
      <c r="E158" s="46"/>
      <c r="F158" s="52"/>
      <c r="G158" s="54"/>
      <c r="H158" s="41"/>
      <c r="I158" s="37"/>
      <c r="J158" s="53"/>
      <c r="K158" s="51"/>
      <c r="L158" s="43"/>
      <c r="M158" s="150"/>
    </row>
    <row r="159" spans="1:13" s="13" customFormat="1" ht="63" x14ac:dyDescent="0.2">
      <c r="A159" s="36" t="str">
        <f>IF(F159&lt;&gt;"",1+MAX($A$1:A158),"")</f>
        <v/>
      </c>
      <c r="B159" s="37"/>
      <c r="C159" s="64"/>
      <c r="D159" s="64"/>
      <c r="E159" s="65" t="s">
        <v>304</v>
      </c>
      <c r="F159" s="52"/>
      <c r="G159" s="54"/>
      <c r="H159" s="41"/>
      <c r="I159" s="37"/>
      <c r="J159" s="53"/>
      <c r="K159" s="51"/>
      <c r="L159" s="43"/>
      <c r="M159" s="150"/>
    </row>
    <row r="160" spans="1:13" s="13" customFormat="1" x14ac:dyDescent="0.2">
      <c r="A160" s="36">
        <f>IF(F160&lt;&gt;"",1+MAX($A$1:A159),"")</f>
        <v>108</v>
      </c>
      <c r="B160" s="37" t="s">
        <v>267</v>
      </c>
      <c r="C160" s="64" t="s">
        <v>289</v>
      </c>
      <c r="D160" s="71"/>
      <c r="E160" s="46" t="s">
        <v>258</v>
      </c>
      <c r="F160" s="52">
        <f>49*2*1/27</f>
        <v>3.6296296296296298</v>
      </c>
      <c r="G160" s="48">
        <v>0.1</v>
      </c>
      <c r="H160" s="41">
        <f t="shared" ref="H160:H166" si="51">F160*(1+G160)</f>
        <v>3.9925925925925929</v>
      </c>
      <c r="I160" s="37" t="s">
        <v>257</v>
      </c>
      <c r="J160" s="53">
        <f>J$18</f>
        <v>0</v>
      </c>
      <c r="K160" s="51">
        <f t="shared" ref="K160:K166" si="52">J160*H160</f>
        <v>0</v>
      </c>
      <c r="L160" s="43"/>
      <c r="M160" s="150"/>
    </row>
    <row r="161" spans="1:13" s="13" customFormat="1" x14ac:dyDescent="0.2">
      <c r="A161" s="36">
        <f>IF(F161&lt;&gt;"",1+MAX($A$1:A160),"")</f>
        <v>109</v>
      </c>
      <c r="B161" s="37" t="s">
        <v>267</v>
      </c>
      <c r="C161" s="64" t="s">
        <v>289</v>
      </c>
      <c r="D161" s="64"/>
      <c r="E161" s="46" t="s">
        <v>290</v>
      </c>
      <c r="F161" s="52">
        <f>49*1*2</f>
        <v>98</v>
      </c>
      <c r="G161" s="48">
        <v>0.1</v>
      </c>
      <c r="H161" s="41">
        <f t="shared" si="51"/>
        <v>107.80000000000001</v>
      </c>
      <c r="I161" s="37" t="s">
        <v>259</v>
      </c>
      <c r="J161" s="53">
        <f>J$75</f>
        <v>0</v>
      </c>
      <c r="K161" s="51">
        <f t="shared" si="52"/>
        <v>0</v>
      </c>
      <c r="L161" s="43"/>
      <c r="M161" s="150"/>
    </row>
    <row r="162" spans="1:13" s="13" customFormat="1" x14ac:dyDescent="0.2">
      <c r="A162" s="36">
        <f>IF(F162&lt;&gt;"",1+MAX($A$1:A161),"")</f>
        <v>110</v>
      </c>
      <c r="B162" s="37" t="s">
        <v>267</v>
      </c>
      <c r="C162" s="64" t="s">
        <v>289</v>
      </c>
      <c r="D162" s="64"/>
      <c r="E162" s="46" t="s">
        <v>260</v>
      </c>
      <c r="F162" s="52">
        <f>49*3*3.67/27</f>
        <v>19.981111111111112</v>
      </c>
      <c r="G162" s="48">
        <v>0.1</v>
      </c>
      <c r="H162" s="41">
        <f t="shared" si="51"/>
        <v>21.979222222222223</v>
      </c>
      <c r="I162" s="37" t="s">
        <v>257</v>
      </c>
      <c r="J162" s="53">
        <f>J$20</f>
        <v>0</v>
      </c>
      <c r="K162" s="51">
        <f t="shared" si="52"/>
        <v>0</v>
      </c>
      <c r="L162" s="43"/>
      <c r="M162" s="150"/>
    </row>
    <row r="163" spans="1:13" s="13" customFormat="1" x14ac:dyDescent="0.2">
      <c r="A163" s="36">
        <f>IF(F163&lt;&gt;"",1+MAX($A$1:A162),"")</f>
        <v>111</v>
      </c>
      <c r="B163" s="37" t="s">
        <v>267</v>
      </c>
      <c r="C163" s="64" t="s">
        <v>289</v>
      </c>
      <c r="D163" s="64"/>
      <c r="E163" s="46" t="s">
        <v>261</v>
      </c>
      <c r="F163" s="52">
        <f>F162-F160-49*0.67*2.67/27</f>
        <v>13.10495925925926</v>
      </c>
      <c r="G163" s="48">
        <v>0.1</v>
      </c>
      <c r="H163" s="41">
        <f t="shared" si="51"/>
        <v>14.415455185185188</v>
      </c>
      <c r="I163" s="37" t="s">
        <v>257</v>
      </c>
      <c r="J163" s="53">
        <f>J$21</f>
        <v>0</v>
      </c>
      <c r="K163" s="51">
        <f t="shared" si="52"/>
        <v>0</v>
      </c>
      <c r="L163" s="43"/>
      <c r="M163" s="150"/>
    </row>
    <row r="164" spans="1:13" s="13" customFormat="1" x14ac:dyDescent="0.2">
      <c r="A164" s="36">
        <f>IF(F164&lt;&gt;"",1+MAX($A$1:A163),"")</f>
        <v>112</v>
      </c>
      <c r="B164" s="37" t="s">
        <v>267</v>
      </c>
      <c r="C164" s="64" t="s">
        <v>289</v>
      </c>
      <c r="D164" s="64"/>
      <c r="E164" s="46" t="s">
        <v>291</v>
      </c>
      <c r="F164" s="52">
        <f>(49/1+1)*2*0.668*1.2</f>
        <v>80.16</v>
      </c>
      <c r="G164" s="48">
        <v>0.1</v>
      </c>
      <c r="H164" s="41">
        <f t="shared" si="51"/>
        <v>88.176000000000002</v>
      </c>
      <c r="I164" s="37" t="s">
        <v>271</v>
      </c>
      <c r="J164" s="53">
        <f t="shared" ref="J164:J166" si="53">J$22</f>
        <v>0</v>
      </c>
      <c r="K164" s="51">
        <f t="shared" si="52"/>
        <v>0</v>
      </c>
      <c r="L164" s="43"/>
      <c r="M164" s="150"/>
    </row>
    <row r="165" spans="1:13" s="13" customFormat="1" x14ac:dyDescent="0.2">
      <c r="A165" s="36">
        <f>IF(F165&lt;&gt;"",1+MAX($A$1:A164),"")</f>
        <v>113</v>
      </c>
      <c r="B165" s="37" t="s">
        <v>267</v>
      </c>
      <c r="C165" s="64" t="s">
        <v>289</v>
      </c>
      <c r="D165" s="64"/>
      <c r="E165" s="46" t="s">
        <v>292</v>
      </c>
      <c r="F165" s="52">
        <f>4*49*0.668*1.2</f>
        <v>157.11359999999999</v>
      </c>
      <c r="G165" s="48">
        <v>0.1</v>
      </c>
      <c r="H165" s="41">
        <f t="shared" si="51"/>
        <v>172.82496</v>
      </c>
      <c r="I165" s="37" t="s">
        <v>271</v>
      </c>
      <c r="J165" s="53">
        <f t="shared" si="53"/>
        <v>0</v>
      </c>
      <c r="K165" s="51">
        <f t="shared" si="52"/>
        <v>0</v>
      </c>
      <c r="L165" s="43"/>
      <c r="M165" s="150"/>
    </row>
    <row r="166" spans="1:13" s="13" customFormat="1" x14ac:dyDescent="0.2">
      <c r="A166" s="36">
        <f>IF(F166&lt;&gt;"",1+MAX($A$1:A165),"")</f>
        <v>114</v>
      </c>
      <c r="B166" s="37" t="s">
        <v>267</v>
      </c>
      <c r="C166" s="64" t="s">
        <v>289</v>
      </c>
      <c r="D166" s="64"/>
      <c r="E166" s="46" t="s">
        <v>294</v>
      </c>
      <c r="F166" s="52">
        <f>(49/4+1)*5*0.668*1.2</f>
        <v>53.106000000000002</v>
      </c>
      <c r="G166" s="48">
        <v>0.1</v>
      </c>
      <c r="H166" s="41">
        <f t="shared" si="51"/>
        <v>58.41660000000001</v>
      </c>
      <c r="I166" s="37" t="s">
        <v>271</v>
      </c>
      <c r="J166" s="53">
        <f t="shared" si="53"/>
        <v>0</v>
      </c>
      <c r="K166" s="51">
        <f t="shared" si="52"/>
        <v>0</v>
      </c>
      <c r="L166" s="43"/>
      <c r="M166" s="150"/>
    </row>
    <row r="167" spans="1:13" s="13" customFormat="1" x14ac:dyDescent="0.2">
      <c r="A167" s="36" t="str">
        <f>IF(F167&lt;&gt;"",1+MAX($A$1:A166),"")</f>
        <v/>
      </c>
      <c r="B167" s="37"/>
      <c r="C167" s="64"/>
      <c r="D167" s="64"/>
      <c r="E167" s="46"/>
      <c r="F167" s="52"/>
      <c r="G167" s="54"/>
      <c r="H167" s="41"/>
      <c r="I167" s="37"/>
      <c r="J167" s="53"/>
      <c r="K167" s="51"/>
      <c r="L167" s="43"/>
      <c r="M167" s="150"/>
    </row>
    <row r="168" spans="1:13" s="13" customFormat="1" ht="63" x14ac:dyDescent="0.2">
      <c r="A168" s="36" t="str">
        <f>IF(F168&lt;&gt;"",1+MAX($A$1:A167),"")</f>
        <v/>
      </c>
      <c r="B168" s="37"/>
      <c r="C168" s="64"/>
      <c r="D168" s="64"/>
      <c r="E168" s="65" t="s">
        <v>305</v>
      </c>
      <c r="F168" s="52"/>
      <c r="G168" s="54"/>
      <c r="H168" s="41"/>
      <c r="I168" s="37"/>
      <c r="J168" s="53"/>
      <c r="K168" s="51"/>
      <c r="L168" s="43"/>
      <c r="M168" s="150"/>
    </row>
    <row r="169" spans="1:13" s="13" customFormat="1" x14ac:dyDescent="0.2">
      <c r="A169" s="36">
        <f>IF(F169&lt;&gt;"",1+MAX($A$1:A168),"")</f>
        <v>115</v>
      </c>
      <c r="B169" s="37" t="s">
        <v>267</v>
      </c>
      <c r="C169" s="64" t="s">
        <v>289</v>
      </c>
      <c r="D169" s="71"/>
      <c r="E169" s="46" t="s">
        <v>258</v>
      </c>
      <c r="F169" s="52">
        <f>41*2*1/27</f>
        <v>3.0370370370370372</v>
      </c>
      <c r="G169" s="48">
        <v>0.1</v>
      </c>
      <c r="H169" s="41">
        <f t="shared" ref="H169:H175" si="54">F169*(1+G169)</f>
        <v>3.340740740740741</v>
      </c>
      <c r="I169" s="37" t="s">
        <v>257</v>
      </c>
      <c r="J169" s="53">
        <f>J$18</f>
        <v>0</v>
      </c>
      <c r="K169" s="51">
        <f t="shared" ref="K169:K175" si="55">J169*H169</f>
        <v>0</v>
      </c>
      <c r="L169" s="43"/>
      <c r="M169" s="150"/>
    </row>
    <row r="170" spans="1:13" s="13" customFormat="1" x14ac:dyDescent="0.2">
      <c r="A170" s="36">
        <f>IF(F170&lt;&gt;"",1+MAX($A$1:A169),"")</f>
        <v>116</v>
      </c>
      <c r="B170" s="37" t="s">
        <v>267</v>
      </c>
      <c r="C170" s="64" t="s">
        <v>289</v>
      </c>
      <c r="D170" s="64"/>
      <c r="E170" s="46" t="s">
        <v>290</v>
      </c>
      <c r="F170" s="52">
        <f>41*1*2</f>
        <v>82</v>
      </c>
      <c r="G170" s="48">
        <v>0.1</v>
      </c>
      <c r="H170" s="41">
        <f t="shared" si="54"/>
        <v>90.2</v>
      </c>
      <c r="I170" s="37" t="s">
        <v>259</v>
      </c>
      <c r="J170" s="53">
        <f>J$75</f>
        <v>0</v>
      </c>
      <c r="K170" s="51">
        <f t="shared" si="55"/>
        <v>0</v>
      </c>
      <c r="L170" s="43"/>
      <c r="M170" s="150"/>
    </row>
    <row r="171" spans="1:13" s="13" customFormat="1" x14ac:dyDescent="0.2">
      <c r="A171" s="36">
        <f>IF(F171&lt;&gt;"",1+MAX($A$1:A170),"")</f>
        <v>117</v>
      </c>
      <c r="B171" s="37" t="s">
        <v>267</v>
      </c>
      <c r="C171" s="64" t="s">
        <v>289</v>
      </c>
      <c r="D171" s="64"/>
      <c r="E171" s="46" t="s">
        <v>260</v>
      </c>
      <c r="F171" s="52">
        <f>41*3*5/27</f>
        <v>22.777777777777779</v>
      </c>
      <c r="G171" s="48">
        <v>0.1</v>
      </c>
      <c r="H171" s="41">
        <f t="shared" si="54"/>
        <v>25.055555555555557</v>
      </c>
      <c r="I171" s="37" t="s">
        <v>257</v>
      </c>
      <c r="J171" s="53">
        <f>J$20</f>
        <v>0</v>
      </c>
      <c r="K171" s="51">
        <f t="shared" si="55"/>
        <v>0</v>
      </c>
      <c r="L171" s="43"/>
      <c r="M171" s="150"/>
    </row>
    <row r="172" spans="1:13" s="13" customFormat="1" x14ac:dyDescent="0.2">
      <c r="A172" s="36">
        <f>IF(F172&lt;&gt;"",1+MAX($A$1:A171),"")</f>
        <v>118</v>
      </c>
      <c r="B172" s="37" t="s">
        <v>267</v>
      </c>
      <c r="C172" s="64" t="s">
        <v>289</v>
      </c>
      <c r="D172" s="64"/>
      <c r="E172" s="46" t="s">
        <v>261</v>
      </c>
      <c r="F172" s="52">
        <f>F171-F169-41*0.67*4/27</f>
        <v>15.671111111111109</v>
      </c>
      <c r="G172" s="48">
        <v>0.1</v>
      </c>
      <c r="H172" s="41">
        <f t="shared" si="54"/>
        <v>17.238222222222223</v>
      </c>
      <c r="I172" s="37" t="s">
        <v>257</v>
      </c>
      <c r="J172" s="53">
        <f>J$21</f>
        <v>0</v>
      </c>
      <c r="K172" s="51">
        <f t="shared" si="55"/>
        <v>0</v>
      </c>
      <c r="L172" s="43"/>
      <c r="M172" s="150"/>
    </row>
    <row r="173" spans="1:13" s="13" customFormat="1" x14ac:dyDescent="0.2">
      <c r="A173" s="36">
        <f>IF(F173&lt;&gt;"",1+MAX($A$1:A172),"")</f>
        <v>119</v>
      </c>
      <c r="B173" s="37" t="s">
        <v>267</v>
      </c>
      <c r="C173" s="64" t="s">
        <v>289</v>
      </c>
      <c r="D173" s="64"/>
      <c r="E173" s="46" t="s">
        <v>291</v>
      </c>
      <c r="F173" s="52">
        <f>(41/1+1)*2*0.668*1.2</f>
        <v>67.334400000000002</v>
      </c>
      <c r="G173" s="48">
        <v>0.1</v>
      </c>
      <c r="H173" s="41">
        <f t="shared" si="54"/>
        <v>74.067840000000004</v>
      </c>
      <c r="I173" s="37" t="s">
        <v>271</v>
      </c>
      <c r="J173" s="53">
        <f t="shared" ref="J173:J175" si="56">J$22</f>
        <v>0</v>
      </c>
      <c r="K173" s="51">
        <f t="shared" si="55"/>
        <v>0</v>
      </c>
      <c r="L173" s="43"/>
      <c r="M173" s="150"/>
    </row>
    <row r="174" spans="1:13" s="13" customFormat="1" x14ac:dyDescent="0.2">
      <c r="A174" s="36">
        <f>IF(F174&lt;&gt;"",1+MAX($A$1:A173),"")</f>
        <v>120</v>
      </c>
      <c r="B174" s="37" t="s">
        <v>267</v>
      </c>
      <c r="C174" s="64" t="s">
        <v>289</v>
      </c>
      <c r="D174" s="64"/>
      <c r="E174" s="46" t="s">
        <v>292</v>
      </c>
      <c r="F174" s="52">
        <f>4*41*0.668*1.2</f>
        <v>131.4624</v>
      </c>
      <c r="G174" s="48">
        <v>0.1</v>
      </c>
      <c r="H174" s="41">
        <f t="shared" si="54"/>
        <v>144.60864000000001</v>
      </c>
      <c r="I174" s="37" t="s">
        <v>271</v>
      </c>
      <c r="J174" s="53">
        <f t="shared" si="56"/>
        <v>0</v>
      </c>
      <c r="K174" s="51">
        <f t="shared" si="55"/>
        <v>0</v>
      </c>
      <c r="L174" s="43"/>
      <c r="M174" s="150"/>
    </row>
    <row r="175" spans="1:13" s="13" customFormat="1" x14ac:dyDescent="0.2">
      <c r="A175" s="36">
        <f>IF(F175&lt;&gt;"",1+MAX($A$1:A174),"")</f>
        <v>121</v>
      </c>
      <c r="B175" s="37" t="s">
        <v>267</v>
      </c>
      <c r="C175" s="64" t="s">
        <v>289</v>
      </c>
      <c r="D175" s="64"/>
      <c r="E175" s="46" t="s">
        <v>294</v>
      </c>
      <c r="F175" s="52">
        <f>(41/4+1)*6.25*0.668*1.2</f>
        <v>56.362499999999997</v>
      </c>
      <c r="G175" s="48">
        <v>0.1</v>
      </c>
      <c r="H175" s="41">
        <f t="shared" si="54"/>
        <v>61.998750000000001</v>
      </c>
      <c r="I175" s="37" t="s">
        <v>271</v>
      </c>
      <c r="J175" s="53">
        <f t="shared" si="56"/>
        <v>0</v>
      </c>
      <c r="K175" s="51">
        <f t="shared" si="55"/>
        <v>0</v>
      </c>
      <c r="L175" s="43"/>
      <c r="M175" s="150"/>
    </row>
    <row r="176" spans="1:13" s="13" customFormat="1" x14ac:dyDescent="0.2">
      <c r="A176" s="36" t="str">
        <f>IF(F176&lt;&gt;"",1+MAX($A$1:A175),"")</f>
        <v/>
      </c>
      <c r="B176" s="37"/>
      <c r="C176" s="64"/>
      <c r="D176" s="64"/>
      <c r="E176" s="46"/>
      <c r="F176" s="52"/>
      <c r="G176" s="54"/>
      <c r="H176" s="41"/>
      <c r="I176" s="37"/>
      <c r="J176" s="53"/>
      <c r="K176" s="51"/>
      <c r="L176" s="43"/>
      <c r="M176" s="150"/>
    </row>
    <row r="177" spans="1:13" s="13" customFormat="1" ht="63" x14ac:dyDescent="0.2">
      <c r="A177" s="36" t="str">
        <f>IF(F177&lt;&gt;"",1+MAX($A$1:A176),"")</f>
        <v/>
      </c>
      <c r="B177" s="37"/>
      <c r="C177" s="64"/>
      <c r="D177" s="64"/>
      <c r="E177" s="65" t="s">
        <v>306</v>
      </c>
      <c r="F177" s="52"/>
      <c r="G177" s="54"/>
      <c r="H177" s="41"/>
      <c r="I177" s="37"/>
      <c r="J177" s="53"/>
      <c r="K177" s="51"/>
      <c r="L177" s="43"/>
      <c r="M177" s="150"/>
    </row>
    <row r="178" spans="1:13" s="13" customFormat="1" x14ac:dyDescent="0.2">
      <c r="A178" s="36">
        <f>IF(F178&lt;&gt;"",1+MAX($A$1:A177),"")</f>
        <v>122</v>
      </c>
      <c r="B178" s="37" t="s">
        <v>267</v>
      </c>
      <c r="C178" s="64" t="s">
        <v>289</v>
      </c>
      <c r="D178" s="71"/>
      <c r="E178" s="46" t="s">
        <v>258</v>
      </c>
      <c r="F178" s="52">
        <f>5*2*1/27</f>
        <v>0.37037037037037035</v>
      </c>
      <c r="G178" s="48">
        <v>0.1</v>
      </c>
      <c r="H178" s="41">
        <f t="shared" ref="H178:H184" si="57">F178*(1+G178)</f>
        <v>0.40740740740740744</v>
      </c>
      <c r="I178" s="37" t="s">
        <v>257</v>
      </c>
      <c r="J178" s="53">
        <f>J$18</f>
        <v>0</v>
      </c>
      <c r="K178" s="51">
        <f t="shared" ref="K178:K184" si="58">J178*H178</f>
        <v>0</v>
      </c>
      <c r="L178" s="43"/>
      <c r="M178" s="150"/>
    </row>
    <row r="179" spans="1:13" s="13" customFormat="1" x14ac:dyDescent="0.2">
      <c r="A179" s="36">
        <f>IF(F179&lt;&gt;"",1+MAX($A$1:A178),"")</f>
        <v>123</v>
      </c>
      <c r="B179" s="37" t="s">
        <v>267</v>
      </c>
      <c r="C179" s="64" t="s">
        <v>289</v>
      </c>
      <c r="D179" s="64"/>
      <c r="E179" s="46" t="s">
        <v>290</v>
      </c>
      <c r="F179" s="52">
        <f>5*1*2</f>
        <v>10</v>
      </c>
      <c r="G179" s="48">
        <v>0.1</v>
      </c>
      <c r="H179" s="41">
        <f t="shared" si="57"/>
        <v>11</v>
      </c>
      <c r="I179" s="37" t="s">
        <v>259</v>
      </c>
      <c r="J179" s="53">
        <f>J$75</f>
        <v>0</v>
      </c>
      <c r="K179" s="51">
        <f t="shared" si="58"/>
        <v>0</v>
      </c>
      <c r="L179" s="43"/>
      <c r="M179" s="150"/>
    </row>
    <row r="180" spans="1:13" s="13" customFormat="1" x14ac:dyDescent="0.2">
      <c r="A180" s="36">
        <f>IF(F180&lt;&gt;"",1+MAX($A$1:A179),"")</f>
        <v>124</v>
      </c>
      <c r="B180" s="37" t="s">
        <v>267</v>
      </c>
      <c r="C180" s="64" t="s">
        <v>289</v>
      </c>
      <c r="D180" s="64"/>
      <c r="E180" s="46" t="s">
        <v>260</v>
      </c>
      <c r="F180" s="52">
        <f>5*3*3.67/27</f>
        <v>2.0388888888888888</v>
      </c>
      <c r="G180" s="48">
        <v>0.1</v>
      </c>
      <c r="H180" s="41">
        <f t="shared" si="57"/>
        <v>2.242777777777778</v>
      </c>
      <c r="I180" s="37" t="s">
        <v>257</v>
      </c>
      <c r="J180" s="53">
        <f>J$20</f>
        <v>0</v>
      </c>
      <c r="K180" s="51">
        <f t="shared" si="58"/>
        <v>0</v>
      </c>
      <c r="L180" s="43"/>
      <c r="M180" s="150"/>
    </row>
    <row r="181" spans="1:13" s="13" customFormat="1" x14ac:dyDescent="0.2">
      <c r="A181" s="36">
        <f>IF(F181&lt;&gt;"",1+MAX($A$1:A180),"")</f>
        <v>125</v>
      </c>
      <c r="B181" s="37" t="s">
        <v>267</v>
      </c>
      <c r="C181" s="64" t="s">
        <v>289</v>
      </c>
      <c r="D181" s="64"/>
      <c r="E181" s="46" t="s">
        <v>261</v>
      </c>
      <c r="F181" s="52">
        <f>F180-F178-5*0.67*2.67/27</f>
        <v>1.3372407407407407</v>
      </c>
      <c r="G181" s="48">
        <v>0.1</v>
      </c>
      <c r="H181" s="41">
        <f t="shared" si="57"/>
        <v>1.4709648148148149</v>
      </c>
      <c r="I181" s="37" t="s">
        <v>257</v>
      </c>
      <c r="J181" s="53">
        <f>J$21</f>
        <v>0</v>
      </c>
      <c r="K181" s="51">
        <f t="shared" si="58"/>
        <v>0</v>
      </c>
      <c r="L181" s="43"/>
      <c r="M181" s="150"/>
    </row>
    <row r="182" spans="1:13" s="13" customFormat="1" x14ac:dyDescent="0.2">
      <c r="A182" s="36">
        <f>IF(F182&lt;&gt;"",1+MAX($A$1:A181),"")</f>
        <v>126</v>
      </c>
      <c r="B182" s="37" t="s">
        <v>267</v>
      </c>
      <c r="C182" s="64" t="s">
        <v>289</v>
      </c>
      <c r="D182" s="64"/>
      <c r="E182" s="46" t="s">
        <v>291</v>
      </c>
      <c r="F182" s="52">
        <f>(5/1+1)*2*0.668*1.2</f>
        <v>9.6191999999999993</v>
      </c>
      <c r="G182" s="48">
        <v>0.1</v>
      </c>
      <c r="H182" s="41">
        <f t="shared" si="57"/>
        <v>10.58112</v>
      </c>
      <c r="I182" s="37" t="s">
        <v>271</v>
      </c>
      <c r="J182" s="53">
        <f t="shared" ref="J182:J184" si="59">J$22</f>
        <v>0</v>
      </c>
      <c r="K182" s="51">
        <f t="shared" si="58"/>
        <v>0</v>
      </c>
      <c r="L182" s="43"/>
      <c r="M182" s="150"/>
    </row>
    <row r="183" spans="1:13" s="13" customFormat="1" x14ac:dyDescent="0.2">
      <c r="A183" s="36">
        <f>IF(F183&lt;&gt;"",1+MAX($A$1:A182),"")</f>
        <v>127</v>
      </c>
      <c r="B183" s="37" t="s">
        <v>267</v>
      </c>
      <c r="C183" s="64" t="s">
        <v>289</v>
      </c>
      <c r="D183" s="64"/>
      <c r="E183" s="46" t="s">
        <v>292</v>
      </c>
      <c r="F183" s="52">
        <f>4*5*0.668*1.2</f>
        <v>16.032</v>
      </c>
      <c r="G183" s="48">
        <v>0.1</v>
      </c>
      <c r="H183" s="41">
        <f t="shared" si="57"/>
        <v>17.635200000000001</v>
      </c>
      <c r="I183" s="37" t="s">
        <v>271</v>
      </c>
      <c r="J183" s="53">
        <f t="shared" si="59"/>
        <v>0</v>
      </c>
      <c r="K183" s="51">
        <f t="shared" si="58"/>
        <v>0</v>
      </c>
      <c r="L183" s="43"/>
      <c r="M183" s="150"/>
    </row>
    <row r="184" spans="1:13" s="13" customFormat="1" x14ac:dyDescent="0.2">
      <c r="A184" s="36">
        <f>IF(F184&lt;&gt;"",1+MAX($A$1:A183),"")</f>
        <v>128</v>
      </c>
      <c r="B184" s="37" t="s">
        <v>267</v>
      </c>
      <c r="C184" s="64" t="s">
        <v>289</v>
      </c>
      <c r="D184" s="64"/>
      <c r="E184" s="46" t="s">
        <v>294</v>
      </c>
      <c r="F184" s="52">
        <f>(5/4+1)*5*0.668*1.2</f>
        <v>9.0180000000000007</v>
      </c>
      <c r="G184" s="48">
        <v>0.1</v>
      </c>
      <c r="H184" s="41">
        <f t="shared" si="57"/>
        <v>9.9198000000000022</v>
      </c>
      <c r="I184" s="37" t="s">
        <v>271</v>
      </c>
      <c r="J184" s="53">
        <f t="shared" si="59"/>
        <v>0</v>
      </c>
      <c r="K184" s="51">
        <f t="shared" si="58"/>
        <v>0</v>
      </c>
      <c r="L184" s="43"/>
      <c r="M184" s="150"/>
    </row>
    <row r="185" spans="1:13" s="13" customFormat="1" x14ac:dyDescent="0.2">
      <c r="A185" s="36" t="str">
        <f>IF(F185&lt;&gt;"",1+MAX($A$1:A184),"")</f>
        <v/>
      </c>
      <c r="B185" s="37"/>
      <c r="C185" s="64"/>
      <c r="D185" s="64"/>
      <c r="E185" s="46"/>
      <c r="F185" s="52"/>
      <c r="G185" s="54"/>
      <c r="H185" s="41"/>
      <c r="I185" s="37"/>
      <c r="J185" s="53"/>
      <c r="K185" s="51"/>
      <c r="L185" s="43"/>
      <c r="M185" s="150"/>
    </row>
    <row r="186" spans="1:13" s="13" customFormat="1" ht="63" x14ac:dyDescent="0.2">
      <c r="A186" s="36" t="str">
        <f>IF(F186&lt;&gt;"",1+MAX($A$1:A185),"")</f>
        <v/>
      </c>
      <c r="B186" s="37"/>
      <c r="C186" s="64"/>
      <c r="D186" s="64"/>
      <c r="E186" s="65" t="s">
        <v>307</v>
      </c>
      <c r="F186" s="52"/>
      <c r="G186" s="54"/>
      <c r="H186" s="41"/>
      <c r="I186" s="37"/>
      <c r="J186" s="53"/>
      <c r="K186" s="51"/>
      <c r="L186" s="43"/>
      <c r="M186" s="150"/>
    </row>
    <row r="187" spans="1:13" s="13" customFormat="1" x14ac:dyDescent="0.2">
      <c r="A187" s="36">
        <f>IF(F187&lt;&gt;"",1+MAX($A$1:A186),"")</f>
        <v>129</v>
      </c>
      <c r="B187" s="37" t="s">
        <v>267</v>
      </c>
      <c r="C187" s="64" t="s">
        <v>289</v>
      </c>
      <c r="D187" s="71"/>
      <c r="E187" s="46" t="s">
        <v>258</v>
      </c>
      <c r="F187" s="52">
        <f>11*2*1/27</f>
        <v>0.81481481481481477</v>
      </c>
      <c r="G187" s="48">
        <v>0.1</v>
      </c>
      <c r="H187" s="41">
        <f t="shared" ref="H187:H193" si="60">F187*(1+G187)</f>
        <v>0.89629629629629637</v>
      </c>
      <c r="I187" s="37" t="s">
        <v>257</v>
      </c>
      <c r="J187" s="53">
        <f>J$18</f>
        <v>0</v>
      </c>
      <c r="K187" s="51">
        <f t="shared" ref="K187:K193" si="61">J187*H187</f>
        <v>0</v>
      </c>
      <c r="L187" s="43"/>
      <c r="M187" s="150"/>
    </row>
    <row r="188" spans="1:13" s="13" customFormat="1" x14ac:dyDescent="0.2">
      <c r="A188" s="36">
        <f>IF(F188&lt;&gt;"",1+MAX($A$1:A187),"")</f>
        <v>130</v>
      </c>
      <c r="B188" s="37" t="s">
        <v>267</v>
      </c>
      <c r="C188" s="64" t="s">
        <v>289</v>
      </c>
      <c r="D188" s="64"/>
      <c r="E188" s="46" t="s">
        <v>290</v>
      </c>
      <c r="F188" s="52">
        <f>11*1*2</f>
        <v>22</v>
      </c>
      <c r="G188" s="48">
        <v>0.1</v>
      </c>
      <c r="H188" s="41">
        <f t="shared" si="60"/>
        <v>24.200000000000003</v>
      </c>
      <c r="I188" s="37" t="s">
        <v>259</v>
      </c>
      <c r="J188" s="53">
        <f>J$75</f>
        <v>0</v>
      </c>
      <c r="K188" s="51">
        <f t="shared" si="61"/>
        <v>0</v>
      </c>
      <c r="L188" s="43"/>
      <c r="M188" s="150"/>
    </row>
    <row r="189" spans="1:13" s="13" customFormat="1" x14ac:dyDescent="0.2">
      <c r="A189" s="36">
        <f>IF(F189&lt;&gt;"",1+MAX($A$1:A188),"")</f>
        <v>131</v>
      </c>
      <c r="B189" s="37" t="s">
        <v>267</v>
      </c>
      <c r="C189" s="64" t="s">
        <v>289</v>
      </c>
      <c r="D189" s="64"/>
      <c r="E189" s="46" t="s">
        <v>260</v>
      </c>
      <c r="F189" s="52">
        <f>11*3*5/27</f>
        <v>6.1111111111111107</v>
      </c>
      <c r="G189" s="48">
        <v>0.1</v>
      </c>
      <c r="H189" s="41">
        <f t="shared" si="60"/>
        <v>6.7222222222222223</v>
      </c>
      <c r="I189" s="37" t="s">
        <v>257</v>
      </c>
      <c r="J189" s="53">
        <f>J$20</f>
        <v>0</v>
      </c>
      <c r="K189" s="51">
        <f t="shared" si="61"/>
        <v>0</v>
      </c>
      <c r="L189" s="43"/>
      <c r="M189" s="150"/>
    </row>
    <row r="190" spans="1:13" s="13" customFormat="1" x14ac:dyDescent="0.2">
      <c r="A190" s="36">
        <f>IF(F190&lt;&gt;"",1+MAX($A$1:A189),"")</f>
        <v>132</v>
      </c>
      <c r="B190" s="37" t="s">
        <v>267</v>
      </c>
      <c r="C190" s="64" t="s">
        <v>289</v>
      </c>
      <c r="D190" s="64"/>
      <c r="E190" s="46" t="s">
        <v>261</v>
      </c>
      <c r="F190" s="52">
        <f>F189-F187-11*0.67*4/27</f>
        <v>4.2044444444444444</v>
      </c>
      <c r="G190" s="48">
        <v>0.1</v>
      </c>
      <c r="H190" s="41">
        <f t="shared" si="60"/>
        <v>4.624888888888889</v>
      </c>
      <c r="I190" s="37" t="s">
        <v>257</v>
      </c>
      <c r="J190" s="53">
        <f>J$21</f>
        <v>0</v>
      </c>
      <c r="K190" s="51">
        <f t="shared" si="61"/>
        <v>0</v>
      </c>
      <c r="L190" s="43"/>
      <c r="M190" s="150"/>
    </row>
    <row r="191" spans="1:13" s="13" customFormat="1" x14ac:dyDescent="0.2">
      <c r="A191" s="36">
        <f>IF(F191&lt;&gt;"",1+MAX($A$1:A190),"")</f>
        <v>133</v>
      </c>
      <c r="B191" s="37" t="s">
        <v>267</v>
      </c>
      <c r="C191" s="64" t="s">
        <v>289</v>
      </c>
      <c r="D191" s="64"/>
      <c r="E191" s="46" t="s">
        <v>291</v>
      </c>
      <c r="F191" s="52">
        <f>(11/1+1)*2*0.668*1.2</f>
        <v>19.238399999999999</v>
      </c>
      <c r="G191" s="48">
        <v>0.1</v>
      </c>
      <c r="H191" s="41">
        <f t="shared" si="60"/>
        <v>21.162240000000001</v>
      </c>
      <c r="I191" s="37" t="s">
        <v>271</v>
      </c>
      <c r="J191" s="53">
        <f t="shared" ref="J191:J193" si="62">J$22</f>
        <v>0</v>
      </c>
      <c r="K191" s="51">
        <f t="shared" si="61"/>
        <v>0</v>
      </c>
      <c r="L191" s="43"/>
      <c r="M191" s="150"/>
    </row>
    <row r="192" spans="1:13" s="13" customFormat="1" x14ac:dyDescent="0.2">
      <c r="A192" s="36">
        <f>IF(F192&lt;&gt;"",1+MAX($A$1:A191),"")</f>
        <v>134</v>
      </c>
      <c r="B192" s="37" t="s">
        <v>267</v>
      </c>
      <c r="C192" s="64" t="s">
        <v>289</v>
      </c>
      <c r="D192" s="64"/>
      <c r="E192" s="46" t="s">
        <v>292</v>
      </c>
      <c r="F192" s="52">
        <f>4*11*0.668*1.2</f>
        <v>35.270400000000002</v>
      </c>
      <c r="G192" s="48">
        <v>0.1</v>
      </c>
      <c r="H192" s="41">
        <f t="shared" si="60"/>
        <v>38.797440000000009</v>
      </c>
      <c r="I192" s="37" t="s">
        <v>271</v>
      </c>
      <c r="J192" s="53">
        <f t="shared" si="62"/>
        <v>0</v>
      </c>
      <c r="K192" s="51">
        <f t="shared" si="61"/>
        <v>0</v>
      </c>
      <c r="L192" s="43"/>
      <c r="M192" s="150"/>
    </row>
    <row r="193" spans="1:13" s="13" customFormat="1" x14ac:dyDescent="0.2">
      <c r="A193" s="36">
        <f>IF(F193&lt;&gt;"",1+MAX($A$1:A192),"")</f>
        <v>135</v>
      </c>
      <c r="B193" s="37" t="s">
        <v>267</v>
      </c>
      <c r="C193" s="64" t="s">
        <v>289</v>
      </c>
      <c r="D193" s="64"/>
      <c r="E193" s="46" t="s">
        <v>294</v>
      </c>
      <c r="F193" s="52">
        <f>(11/4+1)*6.25*0.668*1.2</f>
        <v>18.787500000000001</v>
      </c>
      <c r="G193" s="48">
        <v>0.1</v>
      </c>
      <c r="H193" s="41">
        <f t="shared" si="60"/>
        <v>20.666250000000002</v>
      </c>
      <c r="I193" s="37" t="s">
        <v>271</v>
      </c>
      <c r="J193" s="53">
        <f t="shared" si="62"/>
        <v>0</v>
      </c>
      <c r="K193" s="51">
        <f t="shared" si="61"/>
        <v>0</v>
      </c>
      <c r="L193" s="43"/>
      <c r="M193" s="150"/>
    </row>
    <row r="194" spans="1:13" s="13" customFormat="1" x14ac:dyDescent="0.2">
      <c r="A194" s="36" t="str">
        <f>IF(F194&lt;&gt;"",1+MAX($A$1:A193),"")</f>
        <v/>
      </c>
      <c r="B194" s="37"/>
      <c r="C194" s="64"/>
      <c r="D194" s="64"/>
      <c r="E194" s="46"/>
      <c r="F194" s="52"/>
      <c r="G194" s="54"/>
      <c r="H194" s="41"/>
      <c r="I194" s="37"/>
      <c r="J194" s="53"/>
      <c r="K194" s="51"/>
      <c r="L194" s="43"/>
      <c r="M194" s="150"/>
    </row>
    <row r="195" spans="1:13" s="13" customFormat="1" ht="63" x14ac:dyDescent="0.2">
      <c r="A195" s="36" t="str">
        <f>IF(F195&lt;&gt;"",1+MAX($A$1:A194),"")</f>
        <v/>
      </c>
      <c r="B195" s="37"/>
      <c r="C195" s="64"/>
      <c r="D195" s="64"/>
      <c r="E195" s="65" t="s">
        <v>308</v>
      </c>
      <c r="F195" s="52"/>
      <c r="G195" s="54"/>
      <c r="H195" s="41"/>
      <c r="I195" s="37"/>
      <c r="J195" s="53"/>
      <c r="K195" s="51"/>
      <c r="L195" s="43"/>
      <c r="M195" s="150"/>
    </row>
    <row r="196" spans="1:13" s="13" customFormat="1" x14ac:dyDescent="0.2">
      <c r="A196" s="36">
        <f>IF(F196&lt;&gt;"",1+MAX($A$1:A195),"")</f>
        <v>136</v>
      </c>
      <c r="B196" s="37" t="s">
        <v>267</v>
      </c>
      <c r="C196" s="64" t="s">
        <v>289</v>
      </c>
      <c r="D196" s="71"/>
      <c r="E196" s="46" t="s">
        <v>258</v>
      </c>
      <c r="F196" s="78">
        <f>6*2*1/27</f>
        <v>0.44444444444444442</v>
      </c>
      <c r="G196" s="48">
        <v>0.1</v>
      </c>
      <c r="H196" s="78">
        <f t="shared" ref="H196:H202" si="63">F196*(1+G196)</f>
        <v>0.48888888888888893</v>
      </c>
      <c r="I196" s="37" t="s">
        <v>257</v>
      </c>
      <c r="J196" s="53">
        <f>J$18</f>
        <v>0</v>
      </c>
      <c r="K196" s="51">
        <f t="shared" ref="K196:K202" si="64">J196*H196</f>
        <v>0</v>
      </c>
      <c r="L196" s="43"/>
      <c r="M196" s="150"/>
    </row>
    <row r="197" spans="1:13" s="13" customFormat="1" x14ac:dyDescent="0.2">
      <c r="A197" s="36">
        <f>IF(F197&lt;&gt;"",1+MAX($A$1:A196),"")</f>
        <v>137</v>
      </c>
      <c r="B197" s="37" t="s">
        <v>267</v>
      </c>
      <c r="C197" s="64" t="s">
        <v>289</v>
      </c>
      <c r="D197" s="64"/>
      <c r="E197" s="46" t="s">
        <v>290</v>
      </c>
      <c r="F197" s="52">
        <f>6*1*2</f>
        <v>12</v>
      </c>
      <c r="G197" s="48">
        <v>0.1</v>
      </c>
      <c r="H197" s="41">
        <f t="shared" si="63"/>
        <v>13.200000000000001</v>
      </c>
      <c r="I197" s="37" t="s">
        <v>259</v>
      </c>
      <c r="J197" s="53">
        <f>J$75</f>
        <v>0</v>
      </c>
      <c r="K197" s="51">
        <f t="shared" si="64"/>
        <v>0</v>
      </c>
      <c r="L197" s="43"/>
      <c r="M197" s="150"/>
    </row>
    <row r="198" spans="1:13" s="13" customFormat="1" x14ac:dyDescent="0.2">
      <c r="A198" s="36">
        <f>IF(F198&lt;&gt;"",1+MAX($A$1:A197),"")</f>
        <v>138</v>
      </c>
      <c r="B198" s="37" t="s">
        <v>267</v>
      </c>
      <c r="C198" s="64" t="s">
        <v>289</v>
      </c>
      <c r="D198" s="64"/>
      <c r="E198" s="46" t="s">
        <v>260</v>
      </c>
      <c r="F198" s="52">
        <f>6*3*5/27</f>
        <v>3.3333333333333335</v>
      </c>
      <c r="G198" s="48">
        <v>0.1</v>
      </c>
      <c r="H198" s="41">
        <f t="shared" si="63"/>
        <v>3.666666666666667</v>
      </c>
      <c r="I198" s="37" t="s">
        <v>257</v>
      </c>
      <c r="J198" s="53">
        <f>J$20</f>
        <v>0</v>
      </c>
      <c r="K198" s="51">
        <f t="shared" si="64"/>
        <v>0</v>
      </c>
      <c r="L198" s="43"/>
      <c r="M198" s="150"/>
    </row>
    <row r="199" spans="1:13" s="13" customFormat="1" x14ac:dyDescent="0.2">
      <c r="A199" s="36">
        <f>IF(F199&lt;&gt;"",1+MAX($A$1:A198),"")</f>
        <v>139</v>
      </c>
      <c r="B199" s="37" t="s">
        <v>267</v>
      </c>
      <c r="C199" s="64" t="s">
        <v>289</v>
      </c>
      <c r="D199" s="64"/>
      <c r="E199" s="46" t="s">
        <v>261</v>
      </c>
      <c r="F199" s="52">
        <f>F198-F196-6*0.67*4/27</f>
        <v>2.2933333333333339</v>
      </c>
      <c r="G199" s="48">
        <v>0.1</v>
      </c>
      <c r="H199" s="41">
        <f t="shared" si="63"/>
        <v>2.5226666666666673</v>
      </c>
      <c r="I199" s="37" t="s">
        <v>257</v>
      </c>
      <c r="J199" s="53">
        <f>J$21</f>
        <v>0</v>
      </c>
      <c r="K199" s="51">
        <f t="shared" si="64"/>
        <v>0</v>
      </c>
      <c r="L199" s="43"/>
      <c r="M199" s="150"/>
    </row>
    <row r="200" spans="1:13" s="13" customFormat="1" x14ac:dyDescent="0.2">
      <c r="A200" s="36">
        <f>IF(F200&lt;&gt;"",1+MAX($A$1:A199),"")</f>
        <v>140</v>
      </c>
      <c r="B200" s="37" t="s">
        <v>267</v>
      </c>
      <c r="C200" s="64" t="s">
        <v>289</v>
      </c>
      <c r="D200" s="64"/>
      <c r="E200" s="46" t="s">
        <v>291</v>
      </c>
      <c r="F200" s="52">
        <f>(6/1+1)*2*0.668*1.2</f>
        <v>11.2224</v>
      </c>
      <c r="G200" s="48">
        <v>0.1</v>
      </c>
      <c r="H200" s="41">
        <f t="shared" si="63"/>
        <v>12.344640000000002</v>
      </c>
      <c r="I200" s="37" t="s">
        <v>271</v>
      </c>
      <c r="J200" s="53">
        <f t="shared" ref="J200:J202" si="65">J$22</f>
        <v>0</v>
      </c>
      <c r="K200" s="51">
        <f t="shared" si="64"/>
        <v>0</v>
      </c>
      <c r="L200" s="43"/>
      <c r="M200" s="150"/>
    </row>
    <row r="201" spans="1:13" s="13" customFormat="1" x14ac:dyDescent="0.2">
      <c r="A201" s="36">
        <f>IF(F201&lt;&gt;"",1+MAX($A$1:A200),"")</f>
        <v>141</v>
      </c>
      <c r="B201" s="37" t="s">
        <v>267</v>
      </c>
      <c r="C201" s="64" t="s">
        <v>289</v>
      </c>
      <c r="D201" s="64"/>
      <c r="E201" s="46" t="s">
        <v>292</v>
      </c>
      <c r="F201" s="52">
        <f>4*6*0.668*1.2</f>
        <v>19.238399999999999</v>
      </c>
      <c r="G201" s="48">
        <v>0.1</v>
      </c>
      <c r="H201" s="41">
        <f t="shared" si="63"/>
        <v>21.162240000000001</v>
      </c>
      <c r="I201" s="37" t="s">
        <v>271</v>
      </c>
      <c r="J201" s="53">
        <f t="shared" si="65"/>
        <v>0</v>
      </c>
      <c r="K201" s="51">
        <f t="shared" si="64"/>
        <v>0</v>
      </c>
      <c r="L201" s="43"/>
      <c r="M201" s="150"/>
    </row>
    <row r="202" spans="1:13" s="13" customFormat="1" x14ac:dyDescent="0.2">
      <c r="A202" s="36">
        <f>IF(F202&lt;&gt;"",1+MAX($A$1:A201),"")</f>
        <v>142</v>
      </c>
      <c r="B202" s="37" t="s">
        <v>267</v>
      </c>
      <c r="C202" s="64" t="s">
        <v>289</v>
      </c>
      <c r="D202" s="64"/>
      <c r="E202" s="46" t="s">
        <v>294</v>
      </c>
      <c r="F202" s="52">
        <f>(6/4+1)*5*0.668*1.2</f>
        <v>10.02</v>
      </c>
      <c r="G202" s="48">
        <v>0.1</v>
      </c>
      <c r="H202" s="41">
        <f t="shared" si="63"/>
        <v>11.022</v>
      </c>
      <c r="I202" s="37" t="s">
        <v>271</v>
      </c>
      <c r="J202" s="53">
        <f t="shared" si="65"/>
        <v>0</v>
      </c>
      <c r="K202" s="51">
        <f t="shared" si="64"/>
        <v>0</v>
      </c>
      <c r="L202" s="43"/>
      <c r="M202" s="150"/>
    </row>
    <row r="203" spans="1:13" s="13" customFormat="1" x14ac:dyDescent="0.2">
      <c r="A203" s="36" t="str">
        <f>IF(F203&lt;&gt;"",1+MAX($A$1:A202),"")</f>
        <v/>
      </c>
      <c r="B203" s="37"/>
      <c r="C203" s="64"/>
      <c r="D203" s="75"/>
      <c r="E203" s="76"/>
      <c r="F203" s="41"/>
      <c r="G203" s="54"/>
      <c r="H203" s="41"/>
      <c r="I203" s="37"/>
      <c r="J203" s="77"/>
      <c r="K203" s="51"/>
      <c r="L203" s="51"/>
      <c r="M203" s="150"/>
    </row>
    <row r="204" spans="1:13" s="13" customFormat="1" x14ac:dyDescent="0.2">
      <c r="A204" s="36" t="str">
        <f>IF(F204&lt;&gt;"",1+MAX($A$1:A203),"")</f>
        <v/>
      </c>
      <c r="B204" s="64"/>
      <c r="C204" s="64"/>
      <c r="D204" s="75"/>
      <c r="E204" s="65" t="s">
        <v>309</v>
      </c>
      <c r="F204" s="52"/>
      <c r="G204" s="54"/>
      <c r="H204" s="41"/>
      <c r="I204" s="37"/>
      <c r="J204" s="77"/>
      <c r="K204" s="56"/>
      <c r="L204" s="56">
        <f>SUM(K72:K203)</f>
        <v>0</v>
      </c>
      <c r="M204" s="150"/>
    </row>
    <row r="205" spans="1:13" s="13" customFormat="1" x14ac:dyDescent="0.2">
      <c r="A205" s="36" t="str">
        <f>IF(F205&lt;&gt;"",1+MAX($A$1:A204),"")</f>
        <v/>
      </c>
      <c r="B205" s="37"/>
      <c r="C205" s="64"/>
      <c r="D205" s="64"/>
      <c r="E205" s="46"/>
      <c r="F205" s="52"/>
      <c r="G205" s="54"/>
      <c r="H205" s="41"/>
      <c r="I205" s="37"/>
      <c r="J205" s="53"/>
      <c r="K205" s="51"/>
      <c r="L205" s="43"/>
      <c r="M205" s="150"/>
    </row>
    <row r="206" spans="1:13" s="13" customFormat="1" x14ac:dyDescent="0.2">
      <c r="A206" s="36" t="str">
        <f>IF(F206&lt;&gt;"",1+MAX($A$1:A205),"")</f>
        <v/>
      </c>
      <c r="B206" s="37"/>
      <c r="C206" s="64"/>
      <c r="D206" s="64"/>
      <c r="E206" s="65" t="s">
        <v>310</v>
      </c>
      <c r="F206" s="52"/>
      <c r="G206" s="54"/>
      <c r="H206" s="41"/>
      <c r="I206" s="37"/>
      <c r="J206" s="79"/>
      <c r="K206" s="43"/>
      <c r="L206" s="43"/>
      <c r="M206" s="150"/>
    </row>
    <row r="207" spans="1:13" s="13" customFormat="1" ht="47.25" x14ac:dyDescent="0.2">
      <c r="A207" s="36" t="str">
        <f>IF(F207&lt;&gt;"",1+MAX($A$1:A206),"")</f>
        <v/>
      </c>
      <c r="B207" s="37"/>
      <c r="C207" s="64"/>
      <c r="D207" s="64"/>
      <c r="E207" s="65" t="s">
        <v>311</v>
      </c>
      <c r="F207" s="52"/>
      <c r="G207" s="54"/>
      <c r="H207" s="41"/>
      <c r="I207" s="37"/>
      <c r="J207" s="53"/>
      <c r="K207" s="51"/>
      <c r="L207" s="43"/>
      <c r="M207" s="150"/>
    </row>
    <row r="208" spans="1:13" s="13" customFormat="1" x14ac:dyDescent="0.2">
      <c r="A208" s="36">
        <f>IF(F208&lt;&gt;"",1+MAX($A$1:A207),"")</f>
        <v>143</v>
      </c>
      <c r="B208" s="37" t="s">
        <v>267</v>
      </c>
      <c r="C208" s="64" t="s">
        <v>312</v>
      </c>
      <c r="D208" s="64"/>
      <c r="E208" s="46" t="s">
        <v>258</v>
      </c>
      <c r="F208" s="52">
        <f>88*1/27-4*1/27</f>
        <v>3.1111111111111107</v>
      </c>
      <c r="G208" s="48">
        <v>0.1</v>
      </c>
      <c r="H208" s="41">
        <f t="shared" ref="H208:H215" si="66">F208*(1+G208)</f>
        <v>3.4222222222222221</v>
      </c>
      <c r="I208" s="37" t="s">
        <v>257</v>
      </c>
      <c r="J208" s="53">
        <f>J$18</f>
        <v>0</v>
      </c>
      <c r="K208" s="51">
        <f t="shared" ref="K208:K215" si="67">J208*H208</f>
        <v>0</v>
      </c>
      <c r="L208" s="43"/>
      <c r="M208" s="150"/>
    </row>
    <row r="209" spans="1:13" s="13" customFormat="1" x14ac:dyDescent="0.2">
      <c r="A209" s="36">
        <f>IF(F209&lt;&gt;"",1+MAX($A$1:A208),"")</f>
        <v>144</v>
      </c>
      <c r="B209" s="37" t="s">
        <v>267</v>
      </c>
      <c r="C209" s="64" t="s">
        <v>312</v>
      </c>
      <c r="D209" s="80"/>
      <c r="E209" s="46" t="s">
        <v>313</v>
      </c>
      <c r="F209" s="52">
        <f>3.2*(88+3)</f>
        <v>291.2</v>
      </c>
      <c r="G209" s="48">
        <v>0.1</v>
      </c>
      <c r="H209" s="41">
        <f t="shared" si="66"/>
        <v>320.32</v>
      </c>
      <c r="I209" s="37" t="s">
        <v>271</v>
      </c>
      <c r="J209" s="53">
        <f t="shared" ref="J209:J210" si="68">J$22</f>
        <v>0</v>
      </c>
      <c r="K209" s="51">
        <f t="shared" si="67"/>
        <v>0</v>
      </c>
      <c r="L209" s="43"/>
      <c r="M209" s="150"/>
    </row>
    <row r="210" spans="1:13" s="13" customFormat="1" x14ac:dyDescent="0.2">
      <c r="A210" s="36">
        <f>IF(F210&lt;&gt;"",1+MAX($A$1:A209),"")</f>
        <v>145</v>
      </c>
      <c r="B210" s="37" t="s">
        <v>267</v>
      </c>
      <c r="C210" s="64" t="s">
        <v>312</v>
      </c>
      <c r="D210" s="64"/>
      <c r="E210" s="46" t="s">
        <v>314</v>
      </c>
      <c r="F210" s="52">
        <f>(4/1+1)*3.25*0.668*1.2+(4/1+1)*4.25*0.668*1.2</f>
        <v>30.06</v>
      </c>
      <c r="G210" s="48">
        <v>0.1</v>
      </c>
      <c r="H210" s="41">
        <f t="shared" si="66"/>
        <v>33.066000000000003</v>
      </c>
      <c r="I210" s="37" t="s">
        <v>271</v>
      </c>
      <c r="J210" s="53">
        <f t="shared" si="68"/>
        <v>0</v>
      </c>
      <c r="K210" s="51">
        <f t="shared" si="67"/>
        <v>0</v>
      </c>
      <c r="L210" s="43"/>
      <c r="M210" s="150"/>
    </row>
    <row r="211" spans="1:13" s="13" customFormat="1" x14ac:dyDescent="0.2">
      <c r="A211" s="36">
        <f>IF(F211&lt;&gt;"",1+MAX($A$1:A210),"")</f>
        <v>146</v>
      </c>
      <c r="B211" s="37" t="s">
        <v>267</v>
      </c>
      <c r="C211" s="64" t="s">
        <v>312</v>
      </c>
      <c r="D211" s="81"/>
      <c r="E211" s="46" t="s">
        <v>315</v>
      </c>
      <c r="F211" s="52">
        <f>29.5*1</f>
        <v>29.5</v>
      </c>
      <c r="G211" s="48">
        <v>0.1</v>
      </c>
      <c r="H211" s="41">
        <f t="shared" si="66"/>
        <v>32.450000000000003</v>
      </c>
      <c r="I211" s="37" t="s">
        <v>259</v>
      </c>
      <c r="J211" s="53">
        <v>0</v>
      </c>
      <c r="K211" s="51">
        <f t="shared" si="67"/>
        <v>0</v>
      </c>
      <c r="L211" s="43"/>
      <c r="M211" s="150"/>
    </row>
    <row r="212" spans="1:13" s="13" customFormat="1" x14ac:dyDescent="0.2">
      <c r="A212" s="36">
        <f>IF(F212&lt;&gt;"",1+MAX($A$1:A211),"")</f>
        <v>147</v>
      </c>
      <c r="B212" s="37" t="s">
        <v>267</v>
      </c>
      <c r="C212" s="64" t="s">
        <v>312</v>
      </c>
      <c r="D212" s="81"/>
      <c r="E212" s="46" t="s">
        <v>316</v>
      </c>
      <c r="F212" s="52">
        <f>2*8+4</f>
        <v>20</v>
      </c>
      <c r="G212" s="48">
        <v>0.1</v>
      </c>
      <c r="H212" s="41">
        <f t="shared" si="66"/>
        <v>22</v>
      </c>
      <c r="I212" s="37" t="s">
        <v>259</v>
      </c>
      <c r="J212" s="53">
        <v>0</v>
      </c>
      <c r="K212" s="51">
        <f t="shared" si="67"/>
        <v>0</v>
      </c>
      <c r="L212" s="43"/>
      <c r="M212" s="150"/>
    </row>
    <row r="213" spans="1:13" s="13" customFormat="1" x14ac:dyDescent="0.2">
      <c r="A213" s="36">
        <f>IF(F213&lt;&gt;"",1+MAX($A$1:A212),"")</f>
        <v>148</v>
      </c>
      <c r="B213" s="37" t="s">
        <v>267</v>
      </c>
      <c r="C213" s="64" t="s">
        <v>312</v>
      </c>
      <c r="D213" s="81"/>
      <c r="E213" s="46" t="s">
        <v>317</v>
      </c>
      <c r="F213" s="52">
        <f>8.5*3</f>
        <v>25.5</v>
      </c>
      <c r="G213" s="48">
        <v>0.1</v>
      </c>
      <c r="H213" s="41">
        <f t="shared" si="66"/>
        <v>28.05</v>
      </c>
      <c r="I213" s="37" t="s">
        <v>259</v>
      </c>
      <c r="J213" s="53">
        <v>0</v>
      </c>
      <c r="K213" s="51">
        <f t="shared" si="67"/>
        <v>0</v>
      </c>
      <c r="L213" s="43"/>
      <c r="M213" s="150"/>
    </row>
    <row r="214" spans="1:13" s="13" customFormat="1" x14ac:dyDescent="0.2">
      <c r="A214" s="36">
        <f>IF(F214&lt;&gt;"",1+MAX($A$1:A213),"")</f>
        <v>149</v>
      </c>
      <c r="B214" s="37" t="s">
        <v>267</v>
      </c>
      <c r="C214" s="64" t="s">
        <v>312</v>
      </c>
      <c r="D214" s="64"/>
      <c r="E214" s="46" t="s">
        <v>318</v>
      </c>
      <c r="F214" s="52">
        <v>30.75</v>
      </c>
      <c r="G214" s="48">
        <v>0.1</v>
      </c>
      <c r="H214" s="41">
        <f t="shared" si="66"/>
        <v>33.825000000000003</v>
      </c>
      <c r="I214" s="37" t="s">
        <v>13</v>
      </c>
      <c r="J214" s="53">
        <v>0</v>
      </c>
      <c r="K214" s="51">
        <f t="shared" si="67"/>
        <v>0</v>
      </c>
      <c r="L214" s="43"/>
      <c r="M214" s="150"/>
    </row>
    <row r="215" spans="1:13" s="13" customFormat="1" x14ac:dyDescent="0.2">
      <c r="A215" s="36">
        <f>IF(F215&lt;&gt;"",1+MAX($A$1:A214),"")</f>
        <v>150</v>
      </c>
      <c r="B215" s="37" t="s">
        <v>267</v>
      </c>
      <c r="C215" s="64" t="s">
        <v>312</v>
      </c>
      <c r="D215" s="64"/>
      <c r="E215" s="46" t="s">
        <v>319</v>
      </c>
      <c r="F215" s="52">
        <f>88+38*1.5+2.84*8+2*8.5</f>
        <v>184.72</v>
      </c>
      <c r="G215" s="48">
        <v>0.1</v>
      </c>
      <c r="H215" s="41">
        <f t="shared" si="66"/>
        <v>203.19200000000001</v>
      </c>
      <c r="I215" s="37" t="s">
        <v>16</v>
      </c>
      <c r="J215" s="50">
        <v>0</v>
      </c>
      <c r="K215" s="51">
        <f t="shared" si="67"/>
        <v>0</v>
      </c>
      <c r="L215" s="43"/>
      <c r="M215" s="150"/>
    </row>
    <row r="216" spans="1:13" s="13" customFormat="1" x14ac:dyDescent="0.2">
      <c r="A216" s="36" t="str">
        <f>IF(F216&lt;&gt;"",1+MAX($A$1:A215),"")</f>
        <v/>
      </c>
      <c r="B216" s="37"/>
      <c r="C216" s="64"/>
      <c r="D216" s="64"/>
      <c r="E216" s="46"/>
      <c r="F216" s="52"/>
      <c r="G216" s="54"/>
      <c r="H216" s="41"/>
      <c r="I216" s="37"/>
      <c r="J216" s="53"/>
      <c r="K216" s="51"/>
      <c r="L216" s="43"/>
      <c r="M216" s="150"/>
    </row>
    <row r="217" spans="1:13" s="13" customFormat="1" x14ac:dyDescent="0.2">
      <c r="A217" s="36" t="str">
        <f>IF(F217&lt;&gt;"",1+MAX($A$1:A216),"")</f>
        <v/>
      </c>
      <c r="B217" s="37"/>
      <c r="C217" s="64"/>
      <c r="D217" s="64"/>
      <c r="E217" s="65" t="s">
        <v>320</v>
      </c>
      <c r="F217" s="52"/>
      <c r="G217" s="54"/>
      <c r="H217" s="41"/>
      <c r="I217" s="37"/>
      <c r="J217" s="79"/>
      <c r="K217" s="43"/>
      <c r="L217" s="43"/>
      <c r="M217" s="150"/>
    </row>
    <row r="218" spans="1:13" s="13" customFormat="1" ht="47.25" x14ac:dyDescent="0.2">
      <c r="A218" s="36" t="str">
        <f>IF(F218&lt;&gt;"",1+MAX($A$1:A217),"")</f>
        <v/>
      </c>
      <c r="B218" s="37"/>
      <c r="C218" s="64"/>
      <c r="D218" s="64"/>
      <c r="E218" s="65" t="s">
        <v>321</v>
      </c>
      <c r="F218" s="52"/>
      <c r="G218" s="54"/>
      <c r="H218" s="41"/>
      <c r="I218" s="37"/>
      <c r="J218" s="53"/>
      <c r="K218" s="51"/>
      <c r="L218" s="43"/>
      <c r="M218" s="150"/>
    </row>
    <row r="219" spans="1:13" s="13" customFormat="1" x14ac:dyDescent="0.2">
      <c r="A219" s="36">
        <f>IF(F219&lt;&gt;"",1+MAX($A$1:A218),"")</f>
        <v>151</v>
      </c>
      <c r="B219" s="37" t="s">
        <v>267</v>
      </c>
      <c r="C219" s="64" t="s">
        <v>312</v>
      </c>
      <c r="D219" s="64"/>
      <c r="E219" s="46" t="s">
        <v>258</v>
      </c>
      <c r="F219" s="52">
        <f>30.75*0.67*4.34/27</f>
        <v>3.3116611111111118</v>
      </c>
      <c r="G219" s="48">
        <v>0.1</v>
      </c>
      <c r="H219" s="41">
        <f t="shared" ref="H219:H227" si="69">F219*(1+G219)</f>
        <v>3.6428272222222233</v>
      </c>
      <c r="I219" s="37" t="s">
        <v>257</v>
      </c>
      <c r="J219" s="53">
        <f>J$18</f>
        <v>0</v>
      </c>
      <c r="K219" s="51">
        <f t="shared" ref="K219:K227" si="70">J219*H219</f>
        <v>0</v>
      </c>
      <c r="L219" s="43"/>
      <c r="M219" s="150"/>
    </row>
    <row r="220" spans="1:13" s="13" customFormat="1" x14ac:dyDescent="0.2">
      <c r="A220" s="36">
        <f>IF(F220&lt;&gt;"",1+MAX($A$1:A219),"")</f>
        <v>152</v>
      </c>
      <c r="B220" s="37" t="s">
        <v>267</v>
      </c>
      <c r="C220" s="64" t="s">
        <v>312</v>
      </c>
      <c r="D220" s="64"/>
      <c r="E220" s="46" t="s">
        <v>322</v>
      </c>
      <c r="F220" s="52">
        <f>(30.75/4+1)*5*1.043*1.2</f>
        <v>54.366374999999998</v>
      </c>
      <c r="G220" s="48">
        <v>0.1</v>
      </c>
      <c r="H220" s="41">
        <f t="shared" si="69"/>
        <v>59.803012500000001</v>
      </c>
      <c r="I220" s="37" t="s">
        <v>271</v>
      </c>
      <c r="J220" s="53">
        <f t="shared" ref="J220:J222" si="71">J$22</f>
        <v>0</v>
      </c>
      <c r="K220" s="51">
        <f t="shared" si="70"/>
        <v>0</v>
      </c>
      <c r="L220" s="43"/>
      <c r="M220" s="150"/>
    </row>
    <row r="221" spans="1:13" s="13" customFormat="1" x14ac:dyDescent="0.2">
      <c r="A221" s="36">
        <f>IF(F221&lt;&gt;"",1+MAX($A$1:A220),"")</f>
        <v>153</v>
      </c>
      <c r="B221" s="37" t="s">
        <v>267</v>
      </c>
      <c r="C221" s="64" t="s">
        <v>312</v>
      </c>
      <c r="D221" s="64"/>
      <c r="E221" s="46" t="s">
        <v>323</v>
      </c>
      <c r="F221" s="52">
        <f>(24.25/1+1)*5.84*0.668*1.2*2+(7.84/1+1)*7.84*0.668*1.2*2</f>
        <v>347.51860992000002</v>
      </c>
      <c r="G221" s="48">
        <v>0.1</v>
      </c>
      <c r="H221" s="41">
        <f t="shared" si="69"/>
        <v>382.27047091200006</v>
      </c>
      <c r="I221" s="37" t="s">
        <v>271</v>
      </c>
      <c r="J221" s="53">
        <f t="shared" si="71"/>
        <v>0</v>
      </c>
      <c r="K221" s="51">
        <f t="shared" si="70"/>
        <v>0</v>
      </c>
      <c r="L221" s="43"/>
      <c r="M221" s="150"/>
    </row>
    <row r="222" spans="1:13" s="13" customFormat="1" x14ac:dyDescent="0.2">
      <c r="A222" s="36">
        <f>IF(F222&lt;&gt;"",1+MAX($A$1:A221),"")</f>
        <v>154</v>
      </c>
      <c r="B222" s="37" t="s">
        <v>267</v>
      </c>
      <c r="C222" s="64" t="s">
        <v>312</v>
      </c>
      <c r="D222" s="64"/>
      <c r="E222" s="46" t="s">
        <v>324</v>
      </c>
      <c r="F222" s="52">
        <f>(4.34/1+1)*30.75*0.668*1.2*2</f>
        <v>263.25345599999997</v>
      </c>
      <c r="G222" s="48">
        <v>0.1</v>
      </c>
      <c r="H222" s="41">
        <f t="shared" si="69"/>
        <v>289.57880160000002</v>
      </c>
      <c r="I222" s="37" t="s">
        <v>271</v>
      </c>
      <c r="J222" s="53">
        <f t="shared" si="71"/>
        <v>0</v>
      </c>
      <c r="K222" s="51">
        <f t="shared" si="70"/>
        <v>0</v>
      </c>
      <c r="L222" s="43"/>
      <c r="M222" s="150"/>
    </row>
    <row r="223" spans="1:13" s="13" customFormat="1" x14ac:dyDescent="0.2">
      <c r="A223" s="36">
        <f>IF(F223&lt;&gt;"",1+MAX($A$1:A222),"")</f>
        <v>155</v>
      </c>
      <c r="B223" s="37" t="s">
        <v>267</v>
      </c>
      <c r="C223" s="64" t="s">
        <v>312</v>
      </c>
      <c r="D223" s="64"/>
      <c r="E223" s="46" t="s">
        <v>325</v>
      </c>
      <c r="F223" s="52">
        <f>30.75*4.34*2</f>
        <v>266.90999999999997</v>
      </c>
      <c r="G223" s="48">
        <v>0.1</v>
      </c>
      <c r="H223" s="41">
        <f t="shared" si="69"/>
        <v>293.601</v>
      </c>
      <c r="I223" s="37" t="s">
        <v>259</v>
      </c>
      <c r="J223" s="53">
        <v>0</v>
      </c>
      <c r="K223" s="51">
        <f t="shared" si="70"/>
        <v>0</v>
      </c>
      <c r="L223" s="43"/>
      <c r="M223" s="150"/>
    </row>
    <row r="224" spans="1:13" s="13" customFormat="1" x14ac:dyDescent="0.2">
      <c r="A224" s="36">
        <f>IF(F224&lt;&gt;"",1+MAX($A$1:A223),"")</f>
        <v>156</v>
      </c>
      <c r="B224" s="37" t="s">
        <v>267</v>
      </c>
      <c r="C224" s="64" t="s">
        <v>312</v>
      </c>
      <c r="D224" s="64"/>
      <c r="E224" s="46" t="s">
        <v>326</v>
      </c>
      <c r="F224" s="52">
        <v>30.75</v>
      </c>
      <c r="G224" s="48">
        <v>0.1</v>
      </c>
      <c r="H224" s="41">
        <f t="shared" si="69"/>
        <v>33.825000000000003</v>
      </c>
      <c r="I224" s="37" t="s">
        <v>13</v>
      </c>
      <c r="J224" s="53">
        <v>0</v>
      </c>
      <c r="K224" s="51">
        <f t="shared" si="70"/>
        <v>0</v>
      </c>
      <c r="L224" s="43"/>
      <c r="M224" s="150"/>
    </row>
    <row r="225" spans="1:13" s="13" customFormat="1" x14ac:dyDescent="0.2">
      <c r="A225" s="36">
        <f>IF(F225&lt;&gt;"",1+MAX($A$1:A224),"")</f>
        <v>157</v>
      </c>
      <c r="B225" s="37" t="s">
        <v>267</v>
      </c>
      <c r="C225" s="64" t="s">
        <v>312</v>
      </c>
      <c r="D225" s="64"/>
      <c r="E225" s="46" t="s">
        <v>318</v>
      </c>
      <c r="F225" s="52">
        <f>F224</f>
        <v>30.75</v>
      </c>
      <c r="G225" s="48">
        <v>0.1</v>
      </c>
      <c r="H225" s="41">
        <f t="shared" si="69"/>
        <v>33.825000000000003</v>
      </c>
      <c r="I225" s="37" t="s">
        <v>13</v>
      </c>
      <c r="J225" s="53">
        <f>J$214</f>
        <v>0</v>
      </c>
      <c r="K225" s="51">
        <f t="shared" si="70"/>
        <v>0</v>
      </c>
      <c r="L225" s="43"/>
      <c r="M225" s="150"/>
    </row>
    <row r="226" spans="1:13" s="13" customFormat="1" x14ac:dyDescent="0.2">
      <c r="A226" s="36">
        <f>IF(F226&lt;&gt;"",1+MAX($A$1:A225),"")</f>
        <v>158</v>
      </c>
      <c r="B226" s="37" t="s">
        <v>267</v>
      </c>
      <c r="C226" s="64" t="s">
        <v>312</v>
      </c>
      <c r="D226" s="64"/>
      <c r="E226" s="46" t="s">
        <v>319</v>
      </c>
      <c r="F226" s="52">
        <f>30.75*4.34</f>
        <v>133.45499999999998</v>
      </c>
      <c r="G226" s="48">
        <v>0.1</v>
      </c>
      <c r="H226" s="41">
        <f t="shared" si="69"/>
        <v>146.8005</v>
      </c>
      <c r="I226" s="37" t="s">
        <v>16</v>
      </c>
      <c r="J226" s="53">
        <f>J$215</f>
        <v>0</v>
      </c>
      <c r="K226" s="51">
        <f t="shared" si="70"/>
        <v>0</v>
      </c>
      <c r="L226" s="43"/>
      <c r="M226" s="150"/>
    </row>
    <row r="227" spans="1:13" s="13" customFormat="1" ht="63" x14ac:dyDescent="0.2">
      <c r="A227" s="36">
        <f>IF(F227&lt;&gt;"",1+MAX($A$1:A226),"")</f>
        <v>159</v>
      </c>
      <c r="B227" s="37" t="s">
        <v>267</v>
      </c>
      <c r="C227" s="64" t="s">
        <v>312</v>
      </c>
      <c r="D227" s="64"/>
      <c r="E227" s="46" t="s">
        <v>327</v>
      </c>
      <c r="F227" s="52">
        <v>1</v>
      </c>
      <c r="G227" s="54">
        <v>0</v>
      </c>
      <c r="H227" s="41">
        <f t="shared" si="69"/>
        <v>1</v>
      </c>
      <c r="I227" s="37" t="s">
        <v>18</v>
      </c>
      <c r="J227" s="53">
        <v>0</v>
      </c>
      <c r="K227" s="51">
        <f t="shared" si="70"/>
        <v>0</v>
      </c>
      <c r="L227" s="43"/>
      <c r="M227" s="150"/>
    </row>
    <row r="228" spans="1:13" s="13" customFormat="1" x14ac:dyDescent="0.2">
      <c r="A228" s="36" t="str">
        <f>IF(F228&lt;&gt;"",1+MAX($A$1:A227),"")</f>
        <v/>
      </c>
      <c r="B228" s="37"/>
      <c r="C228" s="64"/>
      <c r="D228" s="75"/>
      <c r="E228" s="76"/>
      <c r="F228" s="41"/>
      <c r="G228" s="54"/>
      <c r="H228" s="41"/>
      <c r="I228" s="37"/>
      <c r="J228" s="77"/>
      <c r="K228" s="51"/>
      <c r="L228" s="51"/>
      <c r="M228" s="150"/>
    </row>
    <row r="229" spans="1:13" s="13" customFormat="1" x14ac:dyDescent="0.2">
      <c r="A229" s="36" t="str">
        <f>IF(F229&lt;&gt;"",1+MAX($A$1:A228),"")</f>
        <v/>
      </c>
      <c r="B229" s="64"/>
      <c r="C229" s="64"/>
      <c r="D229" s="75"/>
      <c r="E229" s="65" t="s">
        <v>328</v>
      </c>
      <c r="F229" s="52"/>
      <c r="G229" s="54"/>
      <c r="H229" s="41"/>
      <c r="I229" s="37"/>
      <c r="J229" s="77"/>
      <c r="K229" s="56"/>
      <c r="L229" s="56">
        <f>SUM(K205:K228)</f>
        <v>0</v>
      </c>
      <c r="M229" s="150"/>
    </row>
    <row r="230" spans="1:13" s="13" customFormat="1" x14ac:dyDescent="0.2">
      <c r="A230" s="36" t="str">
        <f>IF(F230&lt;&gt;"",1+MAX($A$1:A229),"")</f>
        <v/>
      </c>
      <c r="B230" s="37"/>
      <c r="C230" s="64"/>
      <c r="D230" s="64"/>
      <c r="E230" s="46"/>
      <c r="F230" s="52"/>
      <c r="G230" s="54"/>
      <c r="H230" s="41"/>
      <c r="I230" s="37"/>
      <c r="J230" s="53"/>
      <c r="K230" s="51"/>
      <c r="L230" s="43"/>
      <c r="M230" s="150"/>
    </row>
    <row r="231" spans="1:13" s="13" customFormat="1" x14ac:dyDescent="0.2">
      <c r="A231" s="36" t="str">
        <f>IF(F231&lt;&gt;"",1+MAX($A$1:A230),"")</f>
        <v/>
      </c>
      <c r="B231" s="37"/>
      <c r="C231" s="64"/>
      <c r="D231" s="64"/>
      <c r="E231" s="65" t="s">
        <v>329</v>
      </c>
      <c r="F231" s="52"/>
      <c r="G231" s="54"/>
      <c r="H231" s="41"/>
      <c r="I231" s="37"/>
      <c r="J231" s="79"/>
      <c r="K231" s="43"/>
      <c r="L231" s="43"/>
      <c r="M231" s="150"/>
    </row>
    <row r="232" spans="1:13" s="13" customFormat="1" ht="31.5" x14ac:dyDescent="0.2">
      <c r="A232" s="36">
        <f>IF(F232&lt;&gt;"",1+MAX($A$1:A231),"")</f>
        <v>160</v>
      </c>
      <c r="B232" s="37" t="s">
        <v>267</v>
      </c>
      <c r="C232" s="37" t="s">
        <v>267</v>
      </c>
      <c r="D232" s="82">
        <f>H232*0.334/27</f>
        <v>6.1641555555555563</v>
      </c>
      <c r="E232" s="46" t="s">
        <v>330</v>
      </c>
      <c r="F232" s="52">
        <v>453</v>
      </c>
      <c r="G232" s="48">
        <v>0.1</v>
      </c>
      <c r="H232" s="41">
        <f t="shared" ref="H232:H251" si="72">F232*(1+G232)</f>
        <v>498.30000000000007</v>
      </c>
      <c r="I232" s="37" t="s">
        <v>16</v>
      </c>
      <c r="J232" s="53">
        <v>0</v>
      </c>
      <c r="K232" s="51">
        <f t="shared" ref="K232:K251" si="73">J232*H232</f>
        <v>0</v>
      </c>
      <c r="L232" s="43"/>
      <c r="M232" s="150"/>
    </row>
    <row r="233" spans="1:13" s="13" customFormat="1" x14ac:dyDescent="0.2">
      <c r="A233" s="36">
        <f>IF(F233&lt;&gt;"",1+MAX($A$1:A232),"")</f>
        <v>161</v>
      </c>
      <c r="B233" s="37" t="s">
        <v>267</v>
      </c>
      <c r="C233" s="37" t="s">
        <v>267</v>
      </c>
      <c r="D233" s="64"/>
      <c r="E233" s="46" t="s">
        <v>331</v>
      </c>
      <c r="F233" s="52">
        <f>F232*0.5/27</f>
        <v>8.3888888888888893</v>
      </c>
      <c r="G233" s="48">
        <v>0.1</v>
      </c>
      <c r="H233" s="41">
        <f t="shared" si="72"/>
        <v>9.2277777777777796</v>
      </c>
      <c r="I233" s="37" t="s">
        <v>257</v>
      </c>
      <c r="J233" s="53">
        <v>0</v>
      </c>
      <c r="K233" s="51">
        <f t="shared" si="73"/>
        <v>0</v>
      </c>
      <c r="L233" s="43"/>
      <c r="M233" s="150"/>
    </row>
    <row r="234" spans="1:13" s="13" customFormat="1" x14ac:dyDescent="0.2">
      <c r="A234" s="36">
        <f>IF(F234&lt;&gt;"",1+MAX($A$1:A233),"")</f>
        <v>162</v>
      </c>
      <c r="B234" s="37" t="s">
        <v>267</v>
      </c>
      <c r="C234" s="37" t="s">
        <v>267</v>
      </c>
      <c r="D234" s="83"/>
      <c r="E234" s="46" t="s">
        <v>332</v>
      </c>
      <c r="F234" s="52">
        <f>F232</f>
        <v>453</v>
      </c>
      <c r="G234" s="48">
        <v>0.1</v>
      </c>
      <c r="H234" s="41">
        <f t="shared" si="72"/>
        <v>498.30000000000007</v>
      </c>
      <c r="I234" s="37" t="s">
        <v>16</v>
      </c>
      <c r="J234" s="53">
        <v>0</v>
      </c>
      <c r="K234" s="51">
        <f t="shared" si="73"/>
        <v>0</v>
      </c>
      <c r="L234" s="43"/>
      <c r="M234" s="150"/>
    </row>
    <row r="235" spans="1:13" s="13" customFormat="1" x14ac:dyDescent="0.2">
      <c r="A235" s="36">
        <f>IF(F235&lt;&gt;"",1+MAX($A$1:A234),"")</f>
        <v>163</v>
      </c>
      <c r="B235" s="37" t="s">
        <v>267</v>
      </c>
      <c r="C235" s="37" t="s">
        <v>267</v>
      </c>
      <c r="D235" s="64"/>
      <c r="E235" s="46" t="s">
        <v>333</v>
      </c>
      <c r="F235" s="52">
        <f>0.16*F232</f>
        <v>72.48</v>
      </c>
      <c r="G235" s="48">
        <v>0.1</v>
      </c>
      <c r="H235" s="41">
        <f t="shared" si="72"/>
        <v>79.728000000000009</v>
      </c>
      <c r="I235" s="37" t="s">
        <v>13</v>
      </c>
      <c r="J235" s="53">
        <v>0</v>
      </c>
      <c r="K235" s="51">
        <f t="shared" si="73"/>
        <v>0</v>
      </c>
      <c r="L235" s="43"/>
      <c r="M235" s="150"/>
    </row>
    <row r="236" spans="1:13" s="13" customFormat="1" x14ac:dyDescent="0.2">
      <c r="A236" s="36">
        <f>IF(F236&lt;&gt;"",1+MAX($A$1:A235),"")</f>
        <v>164</v>
      </c>
      <c r="B236" s="37" t="s">
        <v>267</v>
      </c>
      <c r="C236" s="37" t="s">
        <v>267</v>
      </c>
      <c r="D236" s="64"/>
      <c r="E236" s="46" t="s">
        <v>334</v>
      </c>
      <c r="F236" s="52">
        <f>0.08*F232</f>
        <v>36.24</v>
      </c>
      <c r="G236" s="48">
        <v>0.1</v>
      </c>
      <c r="H236" s="41">
        <f t="shared" si="72"/>
        <v>39.864000000000004</v>
      </c>
      <c r="I236" s="37" t="s">
        <v>13</v>
      </c>
      <c r="J236" s="53">
        <v>0</v>
      </c>
      <c r="K236" s="51">
        <f t="shared" si="73"/>
        <v>0</v>
      </c>
      <c r="L236" s="43"/>
      <c r="M236" s="150"/>
    </row>
    <row r="237" spans="1:13" s="14" customFormat="1" x14ac:dyDescent="0.2">
      <c r="A237" s="36" t="str">
        <f>IF(F237&lt;&gt;"",1+MAX($A$1:A236),"")</f>
        <v/>
      </c>
      <c r="B237" s="37"/>
      <c r="C237" s="64"/>
      <c r="D237" s="64"/>
      <c r="E237" s="65" t="s">
        <v>335</v>
      </c>
      <c r="F237" s="52"/>
      <c r="G237" s="54"/>
      <c r="H237" s="41"/>
      <c r="I237" s="37"/>
      <c r="J237" s="53"/>
      <c r="K237" s="51"/>
      <c r="L237" s="43"/>
      <c r="M237" s="150"/>
    </row>
    <row r="238" spans="1:13" s="13" customFormat="1" x14ac:dyDescent="0.2">
      <c r="A238" s="36">
        <f>IF(F238&lt;&gt;"",1+MAX($A$1:A237),"")</f>
        <v>165</v>
      </c>
      <c r="B238" s="37" t="s">
        <v>267</v>
      </c>
      <c r="C238" s="37" t="s">
        <v>289</v>
      </c>
      <c r="D238" s="64"/>
      <c r="E238" s="46" t="s">
        <v>258</v>
      </c>
      <c r="F238" s="52">
        <f>0.4*F239/27</f>
        <v>3.4256296296296296</v>
      </c>
      <c r="G238" s="48">
        <v>0.1</v>
      </c>
      <c r="H238" s="41">
        <f t="shared" si="72"/>
        <v>3.7681925925925928</v>
      </c>
      <c r="I238" s="37" t="s">
        <v>257</v>
      </c>
      <c r="J238" s="53">
        <f>J$18</f>
        <v>0</v>
      </c>
      <c r="K238" s="51">
        <f t="shared" si="73"/>
        <v>0</v>
      </c>
      <c r="L238" s="43"/>
      <c r="M238" s="150"/>
    </row>
    <row r="239" spans="1:13" s="13" customFormat="1" x14ac:dyDescent="0.2">
      <c r="A239" s="36">
        <f>IF(F239&lt;&gt;"",1+MAX($A$1:A238),"")</f>
        <v>166</v>
      </c>
      <c r="B239" s="37" t="s">
        <v>267</v>
      </c>
      <c r="C239" s="37" t="s">
        <v>289</v>
      </c>
      <c r="D239" s="64"/>
      <c r="E239" s="46" t="s">
        <v>336</v>
      </c>
      <c r="F239" s="52">
        <v>231.23</v>
      </c>
      <c r="G239" s="48">
        <v>0.1</v>
      </c>
      <c r="H239" s="41">
        <f t="shared" si="72"/>
        <v>254.35300000000001</v>
      </c>
      <c r="I239" s="37" t="s">
        <v>13</v>
      </c>
      <c r="J239" s="53">
        <v>0</v>
      </c>
      <c r="K239" s="51">
        <f t="shared" si="73"/>
        <v>0</v>
      </c>
      <c r="L239" s="43"/>
      <c r="M239" s="150"/>
    </row>
    <row r="240" spans="1:13" s="13" customFormat="1" x14ac:dyDescent="0.2">
      <c r="A240" s="36">
        <f>IF(F240&lt;&gt;"",1+MAX($A$1:A239),"")</f>
        <v>167</v>
      </c>
      <c r="B240" s="37" t="s">
        <v>267</v>
      </c>
      <c r="C240" s="37" t="s">
        <v>289</v>
      </c>
      <c r="D240" s="64"/>
      <c r="E240" s="46" t="s">
        <v>260</v>
      </c>
      <c r="F240" s="52">
        <f>F238</f>
        <v>3.4256296296296296</v>
      </c>
      <c r="G240" s="48">
        <v>0.1</v>
      </c>
      <c r="H240" s="41">
        <f t="shared" si="72"/>
        <v>3.7681925925925928</v>
      </c>
      <c r="I240" s="37" t="s">
        <v>257</v>
      </c>
      <c r="J240" s="53">
        <f>J$20</f>
        <v>0</v>
      </c>
      <c r="K240" s="51">
        <f t="shared" si="73"/>
        <v>0</v>
      </c>
      <c r="L240" s="43"/>
      <c r="M240" s="150"/>
    </row>
    <row r="241" spans="1:13" s="13" customFormat="1" x14ac:dyDescent="0.2">
      <c r="A241" s="36" t="str">
        <f>IF(F241&lt;&gt;"",1+MAX($A$1:A240),"")</f>
        <v/>
      </c>
      <c r="B241" s="37"/>
      <c r="C241" s="64"/>
      <c r="D241" s="75"/>
      <c r="E241" s="76"/>
      <c r="F241" s="41"/>
      <c r="G241" s="54"/>
      <c r="H241" s="41"/>
      <c r="I241" s="37"/>
      <c r="J241" s="77"/>
      <c r="K241" s="51"/>
      <c r="L241" s="51"/>
      <c r="M241" s="150"/>
    </row>
    <row r="242" spans="1:13" s="13" customFormat="1" x14ac:dyDescent="0.2">
      <c r="A242" s="36" t="str">
        <f>IF(F242&lt;&gt;"",1+MAX($A$1:A241),"")</f>
        <v/>
      </c>
      <c r="B242" s="64"/>
      <c r="C242" s="64"/>
      <c r="D242" s="75"/>
      <c r="E242" s="65" t="s">
        <v>337</v>
      </c>
      <c r="F242" s="52"/>
      <c r="G242" s="54"/>
      <c r="H242" s="41"/>
      <c r="I242" s="37"/>
      <c r="J242" s="77"/>
      <c r="K242" s="56"/>
      <c r="L242" s="56">
        <f>SUM(K231:K241)</f>
        <v>0</v>
      </c>
      <c r="M242" s="150"/>
    </row>
    <row r="243" spans="1:13" s="13" customFormat="1" x14ac:dyDescent="0.2">
      <c r="A243" s="36" t="str">
        <f>IF(F243&lt;&gt;"",1+MAX($A$1:A242),"")</f>
        <v/>
      </c>
      <c r="B243" s="37"/>
      <c r="C243" s="64"/>
      <c r="D243" s="64"/>
      <c r="E243" s="46"/>
      <c r="F243" s="52"/>
      <c r="G243" s="54"/>
      <c r="H243" s="41"/>
      <c r="I243" s="37"/>
      <c r="J243" s="53"/>
      <c r="K243" s="51"/>
      <c r="L243" s="43"/>
      <c r="M243" s="150"/>
    </row>
    <row r="244" spans="1:13" s="13" customFormat="1" x14ac:dyDescent="0.2">
      <c r="A244" s="36" t="str">
        <f>IF(F244&lt;&gt;"",1+MAX($A$1:A243),"")</f>
        <v/>
      </c>
      <c r="B244" s="37"/>
      <c r="C244" s="64"/>
      <c r="D244" s="64"/>
      <c r="E244" s="65" t="s">
        <v>338</v>
      </c>
      <c r="F244" s="52"/>
      <c r="G244" s="54"/>
      <c r="H244" s="41"/>
      <c r="I244" s="37"/>
      <c r="J244" s="79"/>
      <c r="K244" s="43"/>
      <c r="L244" s="43"/>
      <c r="M244" s="150"/>
    </row>
    <row r="245" spans="1:13" s="13" customFormat="1" x14ac:dyDescent="0.2">
      <c r="A245" s="36">
        <f>IF(F245&lt;&gt;"",1+MAX($A$1:A244),"")</f>
        <v>168</v>
      </c>
      <c r="B245" s="37" t="s">
        <v>267</v>
      </c>
      <c r="C245" s="64" t="s">
        <v>289</v>
      </c>
      <c r="D245" s="64"/>
      <c r="E245" s="46" t="s">
        <v>258</v>
      </c>
      <c r="F245" s="73">
        <f>6*2*15/27</f>
        <v>6.666666666666667</v>
      </c>
      <c r="G245" s="48">
        <v>0.1</v>
      </c>
      <c r="H245" s="41">
        <f t="shared" si="72"/>
        <v>7.3333333333333339</v>
      </c>
      <c r="I245" s="37" t="s">
        <v>257</v>
      </c>
      <c r="J245" s="53">
        <f>J$18</f>
        <v>0</v>
      </c>
      <c r="K245" s="51">
        <f t="shared" si="73"/>
        <v>0</v>
      </c>
      <c r="L245" s="43"/>
      <c r="M245" s="150"/>
    </row>
    <row r="246" spans="1:13" s="13" customFormat="1" x14ac:dyDescent="0.2">
      <c r="A246" s="36">
        <f>IF(F246&lt;&gt;"",1+MAX($A$1:A245),"")</f>
        <v>169</v>
      </c>
      <c r="B246" s="37" t="s">
        <v>267</v>
      </c>
      <c r="C246" s="64" t="s">
        <v>289</v>
      </c>
      <c r="D246" s="64"/>
      <c r="E246" s="46" t="s">
        <v>339</v>
      </c>
      <c r="F246" s="52">
        <f>6*15*2+2*1*15</f>
        <v>210</v>
      </c>
      <c r="G246" s="48">
        <v>0.1</v>
      </c>
      <c r="H246" s="41">
        <f t="shared" si="72"/>
        <v>231.00000000000003</v>
      </c>
      <c r="I246" s="37" t="s">
        <v>259</v>
      </c>
      <c r="J246" s="53">
        <v>0</v>
      </c>
      <c r="K246" s="51">
        <f t="shared" si="73"/>
        <v>0</v>
      </c>
      <c r="L246" s="43"/>
      <c r="M246" s="150"/>
    </row>
    <row r="247" spans="1:13" s="13" customFormat="1" x14ac:dyDescent="0.2">
      <c r="A247" s="36">
        <f>IF(F247&lt;&gt;"",1+MAX($A$1:A246),"")</f>
        <v>170</v>
      </c>
      <c r="B247" s="37" t="s">
        <v>267</v>
      </c>
      <c r="C247" s="64" t="s">
        <v>289</v>
      </c>
      <c r="D247" s="64"/>
      <c r="E247" s="46" t="s">
        <v>260</v>
      </c>
      <c r="F247" s="84">
        <f>F245</f>
        <v>6.666666666666667</v>
      </c>
      <c r="G247" s="48">
        <v>0.1</v>
      </c>
      <c r="H247" s="78">
        <f t="shared" si="72"/>
        <v>7.3333333333333339</v>
      </c>
      <c r="I247" s="37" t="s">
        <v>257</v>
      </c>
      <c r="J247" s="53">
        <f>J$20</f>
        <v>0</v>
      </c>
      <c r="K247" s="51">
        <f t="shared" si="73"/>
        <v>0</v>
      </c>
      <c r="L247" s="43"/>
      <c r="M247" s="150"/>
    </row>
    <row r="248" spans="1:13" s="13" customFormat="1" x14ac:dyDescent="0.2">
      <c r="A248" s="36">
        <f>IF(F248&lt;&gt;"",1+MAX($A$1:A247),"")</f>
        <v>171</v>
      </c>
      <c r="B248" s="37" t="s">
        <v>267</v>
      </c>
      <c r="C248" s="64" t="s">
        <v>289</v>
      </c>
      <c r="D248" s="64"/>
      <c r="E248" s="46" t="s">
        <v>291</v>
      </c>
      <c r="F248" s="52">
        <f>(5.5/1+1)*2*0.668*1.2*15</f>
        <v>156.31200000000001</v>
      </c>
      <c r="G248" s="48">
        <v>0.1</v>
      </c>
      <c r="H248" s="41">
        <f t="shared" si="72"/>
        <v>171.94320000000002</v>
      </c>
      <c r="I248" s="37" t="s">
        <v>271</v>
      </c>
      <c r="J248" s="53">
        <f t="shared" ref="J248:J250" si="74">J$22</f>
        <v>0</v>
      </c>
      <c r="K248" s="51">
        <f t="shared" si="73"/>
        <v>0</v>
      </c>
      <c r="L248" s="43"/>
      <c r="M248" s="150"/>
    </row>
    <row r="249" spans="1:13" s="13" customFormat="1" x14ac:dyDescent="0.2">
      <c r="A249" s="36">
        <f>IF(F249&lt;&gt;"",1+MAX($A$1:A248),"")</f>
        <v>172</v>
      </c>
      <c r="B249" s="37" t="s">
        <v>267</v>
      </c>
      <c r="C249" s="64" t="s">
        <v>289</v>
      </c>
      <c r="D249" s="64"/>
      <c r="E249" s="46" t="s">
        <v>292</v>
      </c>
      <c r="F249" s="52">
        <f>4*15*0.668*1.2*15</f>
        <v>721.44</v>
      </c>
      <c r="G249" s="48">
        <v>0.1</v>
      </c>
      <c r="H249" s="41">
        <f t="shared" si="72"/>
        <v>793.58400000000017</v>
      </c>
      <c r="I249" s="37" t="s">
        <v>271</v>
      </c>
      <c r="J249" s="53">
        <f t="shared" si="74"/>
        <v>0</v>
      </c>
      <c r="K249" s="51">
        <f t="shared" si="73"/>
        <v>0</v>
      </c>
      <c r="L249" s="43"/>
      <c r="M249" s="150"/>
    </row>
    <row r="250" spans="1:13" s="13" customFormat="1" x14ac:dyDescent="0.2">
      <c r="A250" s="36">
        <f>IF(F250&lt;&gt;"",1+MAX($A$1:A249),"")</f>
        <v>173</v>
      </c>
      <c r="B250" s="37" t="s">
        <v>267</v>
      </c>
      <c r="C250" s="64" t="s">
        <v>289</v>
      </c>
      <c r="D250" s="64"/>
      <c r="E250" s="46" t="s">
        <v>294</v>
      </c>
      <c r="F250" s="52">
        <f>(5.5/4+1)*3*0.668*1.2*15</f>
        <v>85.671000000000006</v>
      </c>
      <c r="G250" s="48">
        <v>0.1</v>
      </c>
      <c r="H250" s="41">
        <f t="shared" si="72"/>
        <v>94.238100000000017</v>
      </c>
      <c r="I250" s="37" t="s">
        <v>271</v>
      </c>
      <c r="J250" s="53">
        <f t="shared" si="74"/>
        <v>0</v>
      </c>
      <c r="K250" s="51">
        <f t="shared" si="73"/>
        <v>0</v>
      </c>
      <c r="L250" s="43"/>
      <c r="M250" s="150"/>
    </row>
    <row r="251" spans="1:13" s="13" customFormat="1" x14ac:dyDescent="0.2">
      <c r="A251" s="36">
        <f>IF(F251&lt;&gt;"",1+MAX($A$1:A250),"")</f>
        <v>174</v>
      </c>
      <c r="B251" s="37" t="s">
        <v>267</v>
      </c>
      <c r="C251" s="64" t="s">
        <v>289</v>
      </c>
      <c r="D251" s="64"/>
      <c r="E251" s="46" t="s">
        <v>340</v>
      </c>
      <c r="F251" s="52">
        <v>1</v>
      </c>
      <c r="G251" s="54">
        <v>0</v>
      </c>
      <c r="H251" s="41">
        <f t="shared" si="72"/>
        <v>1</v>
      </c>
      <c r="I251" s="37" t="s">
        <v>45</v>
      </c>
      <c r="J251" s="53">
        <v>0</v>
      </c>
      <c r="K251" s="51">
        <f t="shared" si="73"/>
        <v>0</v>
      </c>
      <c r="L251" s="43"/>
      <c r="M251" s="150"/>
    </row>
    <row r="252" spans="1:13" s="13" customFormat="1" x14ac:dyDescent="0.2">
      <c r="A252" s="36" t="str">
        <f>IF(F252&lt;&gt;"",1+MAX($A$1:A251),"")</f>
        <v/>
      </c>
      <c r="B252" s="37"/>
      <c r="C252" s="64"/>
      <c r="D252" s="75"/>
      <c r="E252" s="76"/>
      <c r="F252" s="41"/>
      <c r="G252" s="54"/>
      <c r="H252" s="41"/>
      <c r="I252" s="37"/>
      <c r="J252" s="77"/>
      <c r="K252" s="51"/>
      <c r="L252" s="51"/>
      <c r="M252" s="150"/>
    </row>
    <row r="253" spans="1:13" s="13" customFormat="1" x14ac:dyDescent="0.2">
      <c r="A253" s="36" t="str">
        <f>IF(F253&lt;&gt;"",1+MAX($A$1:A252),"")</f>
        <v/>
      </c>
      <c r="B253" s="64"/>
      <c r="C253" s="64"/>
      <c r="D253" s="75"/>
      <c r="E253" s="65" t="s">
        <v>341</v>
      </c>
      <c r="F253" s="52"/>
      <c r="G253" s="54"/>
      <c r="H253" s="41"/>
      <c r="I253" s="37"/>
      <c r="J253" s="77"/>
      <c r="K253" s="56"/>
      <c r="L253" s="56">
        <f>SUM(K244:K252)</f>
        <v>0</v>
      </c>
      <c r="M253" s="150"/>
    </row>
    <row r="254" spans="1:13" s="13" customFormat="1" x14ac:dyDescent="0.2">
      <c r="A254" s="36" t="str">
        <f>IF(F254&lt;&gt;"",1+MAX($A$1:A253),"")</f>
        <v/>
      </c>
      <c r="B254" s="37"/>
      <c r="C254" s="64"/>
      <c r="D254" s="64"/>
      <c r="E254" s="46"/>
      <c r="F254" s="52"/>
      <c r="G254" s="54"/>
      <c r="H254" s="41"/>
      <c r="I254" s="37"/>
      <c r="J254" s="53"/>
      <c r="K254" s="51"/>
      <c r="L254" s="43"/>
      <c r="M254" s="150"/>
    </row>
    <row r="255" spans="1:13" s="6" customFormat="1" x14ac:dyDescent="0.2">
      <c r="A255" s="36" t="str">
        <f>IF(F255&lt;&gt;"",1+MAX($A$1:A254),"")</f>
        <v/>
      </c>
      <c r="B255" s="58"/>
      <c r="C255" s="59"/>
      <c r="D255" s="59" t="s">
        <v>37</v>
      </c>
      <c r="E255" s="60" t="s">
        <v>38</v>
      </c>
      <c r="F255" s="47"/>
      <c r="G255" s="40"/>
      <c r="H255" s="40"/>
      <c r="I255" s="40"/>
      <c r="J255" s="61"/>
      <c r="K255" s="40"/>
      <c r="L255" s="134"/>
      <c r="M255" s="151"/>
    </row>
    <row r="256" spans="1:13" s="13" customFormat="1" x14ac:dyDescent="0.2">
      <c r="A256" s="36" t="str">
        <f>IF(F256&lt;&gt;"",1+MAX($A$1:A255),"")</f>
        <v/>
      </c>
      <c r="B256" s="37"/>
      <c r="C256" s="38"/>
      <c r="D256" s="39"/>
      <c r="E256" s="39" t="s">
        <v>83</v>
      </c>
      <c r="F256" s="40"/>
      <c r="G256" s="40"/>
      <c r="H256" s="41"/>
      <c r="I256" s="37"/>
      <c r="J256" s="42"/>
      <c r="K256" s="43"/>
      <c r="L256" s="43"/>
      <c r="M256" s="150"/>
    </row>
    <row r="257" spans="1:13" s="16" customFormat="1" x14ac:dyDescent="0.2">
      <c r="A257" s="36" t="str">
        <f>IF(F257&lt;&gt;"",1+MAX($A$1:A256),"")</f>
        <v/>
      </c>
      <c r="B257" s="62"/>
      <c r="C257" s="63"/>
      <c r="D257" s="63"/>
      <c r="E257" s="65" t="s">
        <v>342</v>
      </c>
      <c r="F257" s="66"/>
      <c r="G257" s="67"/>
      <c r="H257" s="68"/>
      <c r="I257" s="62"/>
      <c r="J257" s="69"/>
      <c r="K257" s="70"/>
      <c r="L257" s="70"/>
      <c r="M257" s="152"/>
    </row>
    <row r="258" spans="1:13" s="13" customFormat="1" ht="47.25" x14ac:dyDescent="0.2">
      <c r="A258" s="36">
        <f>IF(F258&lt;&gt;"",1+MAX($A$1:A257),"")</f>
        <v>175</v>
      </c>
      <c r="B258" s="37" t="s">
        <v>267</v>
      </c>
      <c r="C258" s="64" t="s">
        <v>289</v>
      </c>
      <c r="D258" s="64"/>
      <c r="E258" s="46" t="s">
        <v>417</v>
      </c>
      <c r="F258" s="52">
        <f>2*3.33+4*4+49*0.67+41*0.67+5*0.67+11*0.67</f>
        <v>93.68</v>
      </c>
      <c r="G258" s="48">
        <v>0.1</v>
      </c>
      <c r="H258" s="41">
        <f t="shared" ref="H258:H259" si="75">F258*(1+G258)</f>
        <v>103.04800000000002</v>
      </c>
      <c r="I258" s="37" t="s">
        <v>16</v>
      </c>
      <c r="J258" s="53">
        <v>0</v>
      </c>
      <c r="K258" s="51">
        <f t="shared" ref="K258:K259" si="76">J258*H258</f>
        <v>0</v>
      </c>
      <c r="L258" s="43"/>
      <c r="M258" s="150"/>
    </row>
    <row r="259" spans="1:13" s="13" customFormat="1" ht="47.25" x14ac:dyDescent="0.2">
      <c r="A259" s="36">
        <f>IF(F259&lt;&gt;"",1+MAX($A$1:A258),"")</f>
        <v>176</v>
      </c>
      <c r="B259" s="37" t="s">
        <v>267</v>
      </c>
      <c r="C259" s="64" t="s">
        <v>289</v>
      </c>
      <c r="D259" s="64"/>
      <c r="E259" s="46" t="s">
        <v>418</v>
      </c>
      <c r="F259" s="52">
        <f>2*4+4*4.67+20*4+19*4.67+58*5.34+40*6+39*6.67+68*2.67+9*4+49*2+41*3.33+5*2+11*3.33+6*2</f>
        <v>1515.98</v>
      </c>
      <c r="G259" s="48">
        <v>0.1</v>
      </c>
      <c r="H259" s="41">
        <f t="shared" si="75"/>
        <v>1667.5780000000002</v>
      </c>
      <c r="I259" s="37" t="s">
        <v>16</v>
      </c>
      <c r="J259" s="53">
        <v>0</v>
      </c>
      <c r="K259" s="51">
        <f t="shared" si="76"/>
        <v>0</v>
      </c>
      <c r="L259" s="43"/>
      <c r="M259" s="150"/>
    </row>
    <row r="260" spans="1:13" s="13" customFormat="1" x14ac:dyDescent="0.2">
      <c r="A260" s="36" t="str">
        <f>IF(F260&lt;&gt;"",1+MAX($A$1:A259),"")</f>
        <v/>
      </c>
      <c r="B260" s="37"/>
      <c r="C260" s="64"/>
      <c r="D260" s="64"/>
      <c r="E260" s="46"/>
      <c r="F260" s="52"/>
      <c r="G260" s="54"/>
      <c r="H260" s="41"/>
      <c r="I260" s="37"/>
      <c r="J260" s="53"/>
      <c r="K260" s="51"/>
      <c r="L260" s="43"/>
      <c r="M260" s="150"/>
    </row>
    <row r="261" spans="1:13" s="13" customFormat="1" x14ac:dyDescent="0.2">
      <c r="A261" s="36" t="str">
        <f>IF(F261&lt;&gt;"",1+MAX($A$1:A260),"")</f>
        <v/>
      </c>
      <c r="B261" s="44"/>
      <c r="C261" s="38"/>
      <c r="D261" s="85"/>
      <c r="E261" s="86" t="s">
        <v>133</v>
      </c>
      <c r="F261" s="47"/>
      <c r="G261" s="87"/>
      <c r="H261" s="49"/>
      <c r="I261" s="38"/>
      <c r="J261" s="53"/>
      <c r="K261" s="51"/>
      <c r="L261" s="43"/>
      <c r="M261" s="150"/>
    </row>
    <row r="262" spans="1:13" s="13" customFormat="1" x14ac:dyDescent="0.2">
      <c r="A262" s="36" t="str">
        <f>IF(F262&lt;&gt;"",1+MAX($A$1:A261),"")</f>
        <v/>
      </c>
      <c r="B262" s="44"/>
      <c r="C262" s="38"/>
      <c r="D262" s="85"/>
      <c r="E262" s="88" t="s">
        <v>113</v>
      </c>
      <c r="F262" s="47"/>
      <c r="G262" s="87"/>
      <c r="H262" s="49"/>
      <c r="I262" s="38"/>
      <c r="J262" s="53"/>
      <c r="K262" s="51"/>
      <c r="L262" s="43"/>
      <c r="M262" s="150"/>
    </row>
    <row r="263" spans="1:13" s="13" customFormat="1" ht="47.25" x14ac:dyDescent="0.2">
      <c r="A263" s="36">
        <f>IF(F263&lt;&gt;"",1+MAX($A$1:A262),"")</f>
        <v>177</v>
      </c>
      <c r="B263" s="44" t="s">
        <v>82</v>
      </c>
      <c r="C263" s="38" t="s">
        <v>89</v>
      </c>
      <c r="D263" s="89"/>
      <c r="E263" s="24" t="s">
        <v>153</v>
      </c>
      <c r="F263" s="47">
        <f>53.3*13</f>
        <v>692.9</v>
      </c>
      <c r="G263" s="48">
        <v>0.1</v>
      </c>
      <c r="H263" s="49">
        <f>F263*(1+G263)</f>
        <v>762.19</v>
      </c>
      <c r="I263" s="38" t="s">
        <v>16</v>
      </c>
      <c r="J263" s="53">
        <f>J$259</f>
        <v>0</v>
      </c>
      <c r="K263" s="51">
        <f>J263*H263</f>
        <v>0</v>
      </c>
      <c r="L263" s="43"/>
      <c r="M263" s="150"/>
    </row>
    <row r="264" spans="1:13" s="13" customFormat="1" x14ac:dyDescent="0.2">
      <c r="A264" s="36">
        <f>IF(F264&lt;&gt;"",1+MAX($A$1:A263),"")</f>
        <v>178</v>
      </c>
      <c r="B264" s="44" t="s">
        <v>82</v>
      </c>
      <c r="C264" s="38" t="s">
        <v>89</v>
      </c>
      <c r="D264" s="85"/>
      <c r="E264" s="24" t="s">
        <v>112</v>
      </c>
      <c r="F264" s="47">
        <f>53.3</f>
        <v>53.3</v>
      </c>
      <c r="G264" s="48">
        <v>0.1</v>
      </c>
      <c r="H264" s="49">
        <f t="shared" ref="H264" si="77">F264*(1+G264)</f>
        <v>58.63</v>
      </c>
      <c r="I264" s="38" t="s">
        <v>13</v>
      </c>
      <c r="J264" s="53">
        <v>0</v>
      </c>
      <c r="K264" s="51">
        <f t="shared" ref="K264" si="78">J264*H264</f>
        <v>0</v>
      </c>
      <c r="L264" s="43"/>
      <c r="M264" s="150"/>
    </row>
    <row r="265" spans="1:13" s="13" customFormat="1" x14ac:dyDescent="0.2">
      <c r="A265" s="36">
        <f>IF(F265&lt;&gt;"",1+MAX($A$1:A264),"")</f>
        <v>179</v>
      </c>
      <c r="B265" s="44" t="s">
        <v>82</v>
      </c>
      <c r="C265" s="38" t="s">
        <v>89</v>
      </c>
      <c r="D265" s="89"/>
      <c r="E265" s="24" t="s">
        <v>47</v>
      </c>
      <c r="F265" s="47">
        <f>53.3*13</f>
        <v>692.9</v>
      </c>
      <c r="G265" s="48">
        <v>0.1</v>
      </c>
      <c r="H265" s="49">
        <f>F265*(1+G265)</f>
        <v>762.19</v>
      </c>
      <c r="I265" s="38" t="s">
        <v>16</v>
      </c>
      <c r="J265" s="53">
        <f>J$10</f>
        <v>0</v>
      </c>
      <c r="K265" s="51">
        <f>J265*H265</f>
        <v>0</v>
      </c>
      <c r="L265" s="43"/>
      <c r="M265" s="150"/>
    </row>
    <row r="266" spans="1:13" s="13" customFormat="1" x14ac:dyDescent="0.2">
      <c r="A266" s="36">
        <f>IF(F266&lt;&gt;"",1+MAX($A$1:A265),"")</f>
        <v>180</v>
      </c>
      <c r="B266" s="44" t="s">
        <v>82</v>
      </c>
      <c r="C266" s="38" t="s">
        <v>89</v>
      </c>
      <c r="D266" s="89"/>
      <c r="E266" s="24" t="s">
        <v>154</v>
      </c>
      <c r="F266" s="47">
        <f>53.3</f>
        <v>53.3</v>
      </c>
      <c r="G266" s="48">
        <v>0.1</v>
      </c>
      <c r="H266" s="49">
        <f>F266*(1+G266)</f>
        <v>58.63</v>
      </c>
      <c r="I266" s="38" t="s">
        <v>16</v>
      </c>
      <c r="J266" s="53">
        <v>0</v>
      </c>
      <c r="K266" s="51">
        <f>J266*H266</f>
        <v>0</v>
      </c>
      <c r="L266" s="43"/>
      <c r="M266" s="150"/>
    </row>
    <row r="267" spans="1:13" s="13" customFormat="1" x14ac:dyDescent="0.2">
      <c r="A267" s="36" t="str">
        <f>IF(F267&lt;&gt;"",1+MAX($A$1:A266),"")</f>
        <v/>
      </c>
      <c r="B267" s="44"/>
      <c r="C267" s="38"/>
      <c r="D267" s="85"/>
      <c r="E267" s="90"/>
      <c r="F267" s="91"/>
      <c r="G267" s="92"/>
      <c r="H267" s="49"/>
      <c r="I267" s="38"/>
      <c r="J267" s="53"/>
      <c r="K267" s="51"/>
      <c r="L267" s="43"/>
      <c r="M267" s="150"/>
    </row>
    <row r="268" spans="1:13" s="13" customFormat="1" x14ac:dyDescent="0.2">
      <c r="A268" s="36" t="str">
        <f>IF(F268&lt;&gt;"",1+MAX($A$1:A267),"")</f>
        <v/>
      </c>
      <c r="B268" s="44"/>
      <c r="C268" s="38"/>
      <c r="D268" s="85"/>
      <c r="E268" s="88" t="s">
        <v>114</v>
      </c>
      <c r="F268" s="47"/>
      <c r="G268" s="87"/>
      <c r="H268" s="49"/>
      <c r="I268" s="38"/>
      <c r="J268" s="53"/>
      <c r="K268" s="51"/>
      <c r="L268" s="43"/>
      <c r="M268" s="150"/>
    </row>
    <row r="269" spans="1:13" s="13" customFormat="1" ht="31.5" x14ac:dyDescent="0.2">
      <c r="A269" s="36">
        <f>IF(F269&lt;&gt;"",1+MAX($A$1:A268),"")</f>
        <v>181</v>
      </c>
      <c r="B269" s="44" t="s">
        <v>82</v>
      </c>
      <c r="C269" s="38" t="s">
        <v>89</v>
      </c>
      <c r="D269" s="89"/>
      <c r="E269" s="24" t="s">
        <v>156</v>
      </c>
      <c r="F269" s="47">
        <f>49.9*11.67</f>
        <v>582.33299999999997</v>
      </c>
      <c r="G269" s="48">
        <v>0.1</v>
      </c>
      <c r="H269" s="49">
        <f>F269*(1+G269)</f>
        <v>640.56630000000007</v>
      </c>
      <c r="I269" s="38" t="s">
        <v>16</v>
      </c>
      <c r="J269" s="53">
        <v>0</v>
      </c>
      <c r="K269" s="51">
        <f>J269*H269</f>
        <v>0</v>
      </c>
      <c r="L269" s="43"/>
      <c r="M269" s="150"/>
    </row>
    <row r="270" spans="1:13" s="13" customFormat="1" x14ac:dyDescent="0.2">
      <c r="A270" s="36">
        <f>IF(F270&lt;&gt;"",1+MAX($A$1:A269),"")</f>
        <v>182</v>
      </c>
      <c r="B270" s="44" t="s">
        <v>82</v>
      </c>
      <c r="C270" s="38" t="s">
        <v>89</v>
      </c>
      <c r="D270" s="85"/>
      <c r="E270" s="24" t="s">
        <v>115</v>
      </c>
      <c r="F270" s="47">
        <f>19.9</f>
        <v>19.899999999999999</v>
      </c>
      <c r="G270" s="48">
        <v>0.1</v>
      </c>
      <c r="H270" s="49">
        <f t="shared" ref="H270" si="79">F270*(1+G270)</f>
        <v>21.89</v>
      </c>
      <c r="I270" s="38" t="s">
        <v>13</v>
      </c>
      <c r="J270" s="53">
        <v>0</v>
      </c>
      <c r="K270" s="51">
        <f t="shared" ref="K270" si="80">J270*H270</f>
        <v>0</v>
      </c>
      <c r="L270" s="43"/>
      <c r="M270" s="150"/>
    </row>
    <row r="271" spans="1:13" s="13" customFormat="1" x14ac:dyDescent="0.2">
      <c r="A271" s="36">
        <f>IF(F271&lt;&gt;"",1+MAX($A$1:A270),"")</f>
        <v>183</v>
      </c>
      <c r="B271" s="44" t="s">
        <v>82</v>
      </c>
      <c r="C271" s="38" t="s">
        <v>89</v>
      </c>
      <c r="D271" s="89"/>
      <c r="E271" s="24" t="s">
        <v>47</v>
      </c>
      <c r="F271" s="47">
        <f>49.9*13</f>
        <v>648.69999999999993</v>
      </c>
      <c r="G271" s="48">
        <v>0.1</v>
      </c>
      <c r="H271" s="49">
        <f>F271*(1+G271)</f>
        <v>713.56999999999994</v>
      </c>
      <c r="I271" s="38" t="s">
        <v>16</v>
      </c>
      <c r="J271" s="53">
        <f>J$10</f>
        <v>0</v>
      </c>
      <c r="K271" s="51">
        <f>J271*H271</f>
        <v>0</v>
      </c>
      <c r="L271" s="43"/>
      <c r="M271" s="150"/>
    </row>
    <row r="272" spans="1:13" s="13" customFormat="1" x14ac:dyDescent="0.2">
      <c r="A272" s="36">
        <f>IF(F272&lt;&gt;"",1+MAX($A$1:A271),"")</f>
        <v>184</v>
      </c>
      <c r="B272" s="44" t="s">
        <v>82</v>
      </c>
      <c r="C272" s="38" t="s">
        <v>89</v>
      </c>
      <c r="D272" s="89"/>
      <c r="E272" s="24" t="s">
        <v>154</v>
      </c>
      <c r="F272" s="47">
        <f t="shared" ref="F272" si="81">19.9</f>
        <v>19.899999999999999</v>
      </c>
      <c r="G272" s="48">
        <v>0.1</v>
      </c>
      <c r="H272" s="49">
        <f>F272*(1+G272)</f>
        <v>21.89</v>
      </c>
      <c r="I272" s="38" t="s">
        <v>16</v>
      </c>
      <c r="J272" s="53">
        <f>J$266</f>
        <v>0</v>
      </c>
      <c r="K272" s="51">
        <f>J272*H272</f>
        <v>0</v>
      </c>
      <c r="L272" s="43"/>
      <c r="M272" s="150"/>
    </row>
    <row r="273" spans="1:13" s="13" customFormat="1" x14ac:dyDescent="0.2">
      <c r="A273" s="36" t="str">
        <f>IF(F273&lt;&gt;"",1+MAX($A$1:A272),"")</f>
        <v/>
      </c>
      <c r="B273" s="44"/>
      <c r="C273" s="38"/>
      <c r="D273" s="85"/>
      <c r="E273" s="90"/>
      <c r="F273" s="91"/>
      <c r="G273" s="92"/>
      <c r="H273" s="49"/>
      <c r="I273" s="38"/>
      <c r="J273" s="53"/>
      <c r="K273" s="51"/>
      <c r="L273" s="43"/>
      <c r="M273" s="150"/>
    </row>
    <row r="274" spans="1:13" s="13" customFormat="1" x14ac:dyDescent="0.2">
      <c r="A274" s="36" t="str">
        <f>IF(F274&lt;&gt;"",1+MAX($A$1:A273),"")</f>
        <v/>
      </c>
      <c r="B274" s="44"/>
      <c r="C274" s="38"/>
      <c r="D274" s="85"/>
      <c r="E274" s="88" t="s">
        <v>116</v>
      </c>
      <c r="F274" s="47"/>
      <c r="G274" s="87"/>
      <c r="H274" s="49"/>
      <c r="I274" s="38"/>
      <c r="J274" s="53"/>
      <c r="K274" s="51"/>
      <c r="L274" s="43"/>
      <c r="M274" s="150"/>
    </row>
    <row r="275" spans="1:13" s="13" customFormat="1" ht="31.5" x14ac:dyDescent="0.2">
      <c r="A275" s="36">
        <f>IF(F275&lt;&gt;"",1+MAX($A$1:A274),"")</f>
        <v>185</v>
      </c>
      <c r="B275" s="44" t="s">
        <v>82</v>
      </c>
      <c r="C275" s="38" t="s">
        <v>89</v>
      </c>
      <c r="D275" s="89"/>
      <c r="E275" s="24" t="s">
        <v>155</v>
      </c>
      <c r="F275" s="47">
        <f>5.3*11.67</f>
        <v>61.850999999999999</v>
      </c>
      <c r="G275" s="48">
        <v>0.1</v>
      </c>
      <c r="H275" s="49">
        <f>F275*(1+G275)</f>
        <v>68.036100000000005</v>
      </c>
      <c r="I275" s="38" t="s">
        <v>16</v>
      </c>
      <c r="J275" s="53">
        <v>0</v>
      </c>
      <c r="K275" s="51">
        <f>J275*H275</f>
        <v>0</v>
      </c>
      <c r="L275" s="43"/>
      <c r="M275" s="150"/>
    </row>
    <row r="276" spans="1:13" s="13" customFormat="1" x14ac:dyDescent="0.2">
      <c r="A276" s="36">
        <f>IF(F276&lt;&gt;"",1+MAX($A$1:A275),"")</f>
        <v>186</v>
      </c>
      <c r="B276" s="44" t="s">
        <v>82</v>
      </c>
      <c r="C276" s="38" t="s">
        <v>89</v>
      </c>
      <c r="D276" s="85"/>
      <c r="E276" s="24" t="s">
        <v>112</v>
      </c>
      <c r="F276" s="47">
        <f>5.3</f>
        <v>5.3</v>
      </c>
      <c r="G276" s="48">
        <v>0.1</v>
      </c>
      <c r="H276" s="49">
        <f t="shared" ref="H276" si="82">F276*(1+G276)</f>
        <v>5.83</v>
      </c>
      <c r="I276" s="38" t="s">
        <v>13</v>
      </c>
      <c r="J276" s="53">
        <f>J$264</f>
        <v>0</v>
      </c>
      <c r="K276" s="51">
        <f t="shared" ref="K276" si="83">J276*H276</f>
        <v>0</v>
      </c>
      <c r="L276" s="43"/>
      <c r="M276" s="150"/>
    </row>
    <row r="277" spans="1:13" s="13" customFormat="1" x14ac:dyDescent="0.2">
      <c r="A277" s="36">
        <f>IF(F277&lt;&gt;"",1+MAX($A$1:A276),"")</f>
        <v>187</v>
      </c>
      <c r="B277" s="44" t="s">
        <v>82</v>
      </c>
      <c r="C277" s="38" t="s">
        <v>89</v>
      </c>
      <c r="D277" s="89"/>
      <c r="E277" s="24" t="s">
        <v>47</v>
      </c>
      <c r="F277" s="47">
        <f t="shared" ref="F277" si="84">5.3*13</f>
        <v>68.899999999999991</v>
      </c>
      <c r="G277" s="48">
        <v>0.1</v>
      </c>
      <c r="H277" s="49">
        <f>F277*(1+G277)</f>
        <v>75.789999999999992</v>
      </c>
      <c r="I277" s="38" t="s">
        <v>16</v>
      </c>
      <c r="J277" s="53">
        <f>J$10</f>
        <v>0</v>
      </c>
      <c r="K277" s="51">
        <f>J277*H277</f>
        <v>0</v>
      </c>
      <c r="L277" s="43"/>
      <c r="M277" s="150"/>
    </row>
    <row r="278" spans="1:13" s="13" customFormat="1" x14ac:dyDescent="0.2">
      <c r="A278" s="36">
        <f>IF(F278&lt;&gt;"",1+MAX($A$1:A277),"")</f>
        <v>188</v>
      </c>
      <c r="B278" s="44" t="s">
        <v>82</v>
      </c>
      <c r="C278" s="38" t="s">
        <v>89</v>
      </c>
      <c r="D278" s="89"/>
      <c r="E278" s="24" t="s">
        <v>154</v>
      </c>
      <c r="F278" s="47">
        <f>5.3</f>
        <v>5.3</v>
      </c>
      <c r="G278" s="48">
        <v>0.1</v>
      </c>
      <c r="H278" s="49">
        <f>F278*(1+G278)</f>
        <v>5.83</v>
      </c>
      <c r="I278" s="38" t="s">
        <v>16</v>
      </c>
      <c r="J278" s="53">
        <f>J$266</f>
        <v>0</v>
      </c>
      <c r="K278" s="51">
        <f>J278*H278</f>
        <v>0</v>
      </c>
      <c r="L278" s="43"/>
      <c r="M278" s="150"/>
    </row>
    <row r="279" spans="1:13" s="13" customFormat="1" x14ac:dyDescent="0.2">
      <c r="A279" s="36" t="str">
        <f>IF(F279&lt;&gt;"",1+MAX($A$1:A278),"")</f>
        <v/>
      </c>
      <c r="B279" s="44"/>
      <c r="C279" s="38"/>
      <c r="D279" s="85"/>
      <c r="E279" s="90"/>
      <c r="F279" s="91"/>
      <c r="G279" s="92"/>
      <c r="H279" s="49"/>
      <c r="I279" s="38"/>
      <c r="J279" s="53"/>
      <c r="K279" s="51"/>
      <c r="L279" s="43"/>
      <c r="M279" s="150"/>
    </row>
    <row r="280" spans="1:13" s="13" customFormat="1" x14ac:dyDescent="0.2">
      <c r="A280" s="36" t="str">
        <f>IF(F280&lt;&gt;"",1+MAX($A$1:A279),"")</f>
        <v/>
      </c>
      <c r="B280" s="44"/>
      <c r="C280" s="38"/>
      <c r="D280" s="85"/>
      <c r="E280" s="88" t="s">
        <v>118</v>
      </c>
      <c r="F280" s="47"/>
      <c r="G280" s="87"/>
      <c r="H280" s="49"/>
      <c r="I280" s="38"/>
      <c r="J280" s="53"/>
      <c r="K280" s="51"/>
      <c r="L280" s="43"/>
      <c r="M280" s="150"/>
    </row>
    <row r="281" spans="1:13" s="13" customFormat="1" ht="31.5" x14ac:dyDescent="0.2">
      <c r="A281" s="36">
        <f>IF(F281&lt;&gt;"",1+MAX($A$1:A280),"")</f>
        <v>189</v>
      </c>
      <c r="B281" s="44" t="s">
        <v>82</v>
      </c>
      <c r="C281" s="38" t="s">
        <v>89</v>
      </c>
      <c r="D281" s="89"/>
      <c r="E281" s="24" t="s">
        <v>156</v>
      </c>
      <c r="F281" s="47">
        <f>54.3*12.92</f>
        <v>701.55599999999993</v>
      </c>
      <c r="G281" s="48">
        <v>0.1</v>
      </c>
      <c r="H281" s="49">
        <f>F281*(1+G281)</f>
        <v>771.71159999999998</v>
      </c>
      <c r="I281" s="38" t="s">
        <v>16</v>
      </c>
      <c r="J281" s="53">
        <f>J$269</f>
        <v>0</v>
      </c>
      <c r="K281" s="51">
        <f>J281*H281</f>
        <v>0</v>
      </c>
      <c r="L281" s="43"/>
      <c r="M281" s="150"/>
    </row>
    <row r="282" spans="1:13" s="13" customFormat="1" x14ac:dyDescent="0.2">
      <c r="A282" s="36">
        <f>IF(F282&lt;&gt;"",1+MAX($A$1:A281),"")</f>
        <v>190</v>
      </c>
      <c r="B282" s="44" t="s">
        <v>82</v>
      </c>
      <c r="C282" s="38" t="s">
        <v>89</v>
      </c>
      <c r="D282" s="85"/>
      <c r="E282" s="24" t="s">
        <v>115</v>
      </c>
      <c r="F282" s="47">
        <f>54.3</f>
        <v>54.3</v>
      </c>
      <c r="G282" s="48">
        <v>0.1</v>
      </c>
      <c r="H282" s="49">
        <f t="shared" ref="H282" si="85">F282*(1+G282)</f>
        <v>59.730000000000004</v>
      </c>
      <c r="I282" s="38" t="s">
        <v>13</v>
      </c>
      <c r="J282" s="53">
        <f>J$270</f>
        <v>0</v>
      </c>
      <c r="K282" s="51">
        <f t="shared" ref="K282" si="86">J282*H282</f>
        <v>0</v>
      </c>
      <c r="L282" s="43"/>
      <c r="M282" s="150"/>
    </row>
    <row r="283" spans="1:13" s="13" customFormat="1" x14ac:dyDescent="0.2">
      <c r="A283" s="36">
        <f>IF(F283&lt;&gt;"",1+MAX($A$1:A282),"")</f>
        <v>191</v>
      </c>
      <c r="B283" s="44" t="s">
        <v>82</v>
      </c>
      <c r="C283" s="38" t="s">
        <v>89</v>
      </c>
      <c r="D283" s="89"/>
      <c r="E283" s="24" t="s">
        <v>47</v>
      </c>
      <c r="F283" s="47">
        <v>774</v>
      </c>
      <c r="G283" s="48">
        <v>0.1</v>
      </c>
      <c r="H283" s="49">
        <f>F283*(1+G283)</f>
        <v>851.40000000000009</v>
      </c>
      <c r="I283" s="38" t="s">
        <v>16</v>
      </c>
      <c r="J283" s="53">
        <f>J$10</f>
        <v>0</v>
      </c>
      <c r="K283" s="51">
        <f>J283*H283</f>
        <v>0</v>
      </c>
      <c r="L283" s="43"/>
      <c r="M283" s="150"/>
    </row>
    <row r="284" spans="1:13" s="13" customFormat="1" x14ac:dyDescent="0.2">
      <c r="A284" s="36">
        <f>IF(F284&lt;&gt;"",1+MAX($A$1:A283),"")</f>
        <v>192</v>
      </c>
      <c r="B284" s="44" t="s">
        <v>82</v>
      </c>
      <c r="C284" s="38" t="s">
        <v>89</v>
      </c>
      <c r="D284" s="89"/>
      <c r="E284" s="24" t="s">
        <v>154</v>
      </c>
      <c r="F284" s="47">
        <f t="shared" ref="F284" si="87">54.3</f>
        <v>54.3</v>
      </c>
      <c r="G284" s="48">
        <v>0.1</v>
      </c>
      <c r="H284" s="49">
        <f>F284*(1+G284)</f>
        <v>59.730000000000004</v>
      </c>
      <c r="I284" s="38" t="s">
        <v>16</v>
      </c>
      <c r="J284" s="53">
        <f>J$266</f>
        <v>0</v>
      </c>
      <c r="K284" s="51">
        <f>J284*H284</f>
        <v>0</v>
      </c>
      <c r="L284" s="43"/>
      <c r="M284" s="150"/>
    </row>
    <row r="285" spans="1:13" s="13" customFormat="1" x14ac:dyDescent="0.2">
      <c r="A285" s="36" t="str">
        <f>IF(F285&lt;&gt;"",1+MAX($A$1:A284),"")</f>
        <v/>
      </c>
      <c r="B285" s="44"/>
      <c r="C285" s="38"/>
      <c r="D285" s="85"/>
      <c r="E285" s="90"/>
      <c r="F285" s="91"/>
      <c r="G285" s="92"/>
      <c r="H285" s="49"/>
      <c r="I285" s="38"/>
      <c r="J285" s="53"/>
      <c r="K285" s="51"/>
      <c r="L285" s="43"/>
      <c r="M285" s="150"/>
    </row>
    <row r="286" spans="1:13" s="13" customFormat="1" x14ac:dyDescent="0.2">
      <c r="A286" s="36" t="str">
        <f>IF(F286&lt;&gt;"",1+MAX($A$1:A285),"")</f>
        <v/>
      </c>
      <c r="B286" s="44"/>
      <c r="C286" s="38"/>
      <c r="D286" s="85"/>
      <c r="E286" s="88" t="s">
        <v>120</v>
      </c>
      <c r="F286" s="47"/>
      <c r="G286" s="87"/>
      <c r="H286" s="49"/>
      <c r="I286" s="38"/>
      <c r="J286" s="53"/>
      <c r="K286" s="51"/>
      <c r="L286" s="43"/>
      <c r="M286" s="150"/>
    </row>
    <row r="287" spans="1:13" s="13" customFormat="1" ht="31.5" x14ac:dyDescent="0.2">
      <c r="A287" s="36">
        <f>IF(F287&lt;&gt;"",1+MAX($A$1:A286),"")</f>
        <v>193</v>
      </c>
      <c r="B287" s="44" t="s">
        <v>82</v>
      </c>
      <c r="C287" s="38" t="s">
        <v>89</v>
      </c>
      <c r="D287" s="89"/>
      <c r="E287" s="24" t="s">
        <v>155</v>
      </c>
      <c r="F287" s="47">
        <f>277.3*17</f>
        <v>4714.1000000000004</v>
      </c>
      <c r="G287" s="48">
        <v>0.1</v>
      </c>
      <c r="H287" s="49">
        <f>F287*(1+G287)</f>
        <v>5185.5100000000011</v>
      </c>
      <c r="I287" s="38" t="s">
        <v>16</v>
      </c>
      <c r="J287" s="53">
        <f>J$275</f>
        <v>0</v>
      </c>
      <c r="K287" s="51">
        <f>J287*H287</f>
        <v>0</v>
      </c>
      <c r="L287" s="43"/>
      <c r="M287" s="150"/>
    </row>
    <row r="288" spans="1:13" s="13" customFormat="1" x14ac:dyDescent="0.2">
      <c r="A288" s="36">
        <f>IF(F288&lt;&gt;"",1+MAX($A$1:A287),"")</f>
        <v>194</v>
      </c>
      <c r="B288" s="44" t="s">
        <v>82</v>
      </c>
      <c r="C288" s="38" t="s">
        <v>89</v>
      </c>
      <c r="D288" s="85"/>
      <c r="E288" s="24" t="s">
        <v>112</v>
      </c>
      <c r="F288" s="47">
        <f>277.3</f>
        <v>277.3</v>
      </c>
      <c r="G288" s="48">
        <v>0.1</v>
      </c>
      <c r="H288" s="49">
        <f t="shared" ref="H288" si="88">F288*(1+G288)</f>
        <v>305.03000000000003</v>
      </c>
      <c r="I288" s="38" t="s">
        <v>13</v>
      </c>
      <c r="J288" s="53">
        <f>J$264</f>
        <v>0</v>
      </c>
      <c r="K288" s="51">
        <f t="shared" ref="K288" si="89">J288*H288</f>
        <v>0</v>
      </c>
      <c r="L288" s="43"/>
      <c r="M288" s="150"/>
    </row>
    <row r="289" spans="1:13" s="13" customFormat="1" x14ac:dyDescent="0.2">
      <c r="A289" s="36">
        <f>IF(F289&lt;&gt;"",1+MAX($A$1:A288),"")</f>
        <v>195</v>
      </c>
      <c r="B289" s="44" t="s">
        <v>82</v>
      </c>
      <c r="C289" s="38" t="s">
        <v>89</v>
      </c>
      <c r="D289" s="89"/>
      <c r="E289" s="24" t="s">
        <v>47</v>
      </c>
      <c r="F289" s="47">
        <f>277.3*17</f>
        <v>4714.1000000000004</v>
      </c>
      <c r="G289" s="48">
        <v>0.1</v>
      </c>
      <c r="H289" s="49">
        <f>F289*(1+G289)</f>
        <v>5185.5100000000011</v>
      </c>
      <c r="I289" s="38" t="s">
        <v>16</v>
      </c>
      <c r="J289" s="53">
        <f>J$10</f>
        <v>0</v>
      </c>
      <c r="K289" s="51">
        <f>J289*H289</f>
        <v>0</v>
      </c>
      <c r="L289" s="43"/>
      <c r="M289" s="150"/>
    </row>
    <row r="290" spans="1:13" s="13" customFormat="1" x14ac:dyDescent="0.2">
      <c r="A290" s="36">
        <f>IF(F290&lt;&gt;"",1+MAX($A$1:A289),"")</f>
        <v>196</v>
      </c>
      <c r="B290" s="44" t="s">
        <v>82</v>
      </c>
      <c r="C290" s="38" t="s">
        <v>89</v>
      </c>
      <c r="D290" s="89"/>
      <c r="E290" s="24" t="s">
        <v>154</v>
      </c>
      <c r="F290" s="47">
        <f t="shared" ref="F290" si="90">277.3</f>
        <v>277.3</v>
      </c>
      <c r="G290" s="48">
        <v>0.1</v>
      </c>
      <c r="H290" s="49">
        <f>F290*(1+G290)</f>
        <v>305.03000000000003</v>
      </c>
      <c r="I290" s="38" t="s">
        <v>16</v>
      </c>
      <c r="J290" s="53">
        <f>J$266</f>
        <v>0</v>
      </c>
      <c r="K290" s="51">
        <f>J290*H290</f>
        <v>0</v>
      </c>
      <c r="L290" s="43"/>
      <c r="M290" s="150"/>
    </row>
    <row r="291" spans="1:13" s="13" customFormat="1" x14ac:dyDescent="0.2">
      <c r="A291" s="36" t="str">
        <f>IF(F291&lt;&gt;"",1+MAX($A$1:A290),"")</f>
        <v/>
      </c>
      <c r="B291" s="44"/>
      <c r="C291" s="38"/>
      <c r="D291" s="85"/>
      <c r="E291" s="90"/>
      <c r="F291" s="91"/>
      <c r="G291" s="92"/>
      <c r="H291" s="49"/>
      <c r="I291" s="38"/>
      <c r="J291" s="53"/>
      <c r="K291" s="51"/>
      <c r="L291" s="43"/>
      <c r="M291" s="150"/>
    </row>
    <row r="292" spans="1:13" s="13" customFormat="1" x14ac:dyDescent="0.2">
      <c r="A292" s="36" t="str">
        <f>IF(F292&lt;&gt;"",1+MAX($A$1:A291),"")</f>
        <v/>
      </c>
      <c r="B292" s="44"/>
      <c r="C292" s="38"/>
      <c r="D292" s="85"/>
      <c r="E292" s="86" t="s">
        <v>134</v>
      </c>
      <c r="F292" s="47"/>
      <c r="G292" s="87"/>
      <c r="H292" s="49"/>
      <c r="I292" s="38"/>
      <c r="J292" s="53"/>
      <c r="K292" s="51"/>
      <c r="L292" s="43"/>
      <c r="M292" s="150"/>
    </row>
    <row r="293" spans="1:13" s="13" customFormat="1" x14ac:dyDescent="0.2">
      <c r="A293" s="36" t="str">
        <f>IF(F293&lt;&gt;"",1+MAX($A$1:A292),"")</f>
        <v/>
      </c>
      <c r="B293" s="44"/>
      <c r="C293" s="38"/>
      <c r="D293" s="85"/>
      <c r="E293" s="88" t="s">
        <v>111</v>
      </c>
      <c r="F293" s="47"/>
      <c r="G293" s="87"/>
      <c r="H293" s="49"/>
      <c r="I293" s="38"/>
      <c r="J293" s="53"/>
      <c r="K293" s="51"/>
      <c r="L293" s="43"/>
      <c r="M293" s="150"/>
    </row>
    <row r="294" spans="1:13" s="13" customFormat="1" ht="47.25" x14ac:dyDescent="0.2">
      <c r="A294" s="36">
        <f>IF(F294&lt;&gt;"",1+MAX($A$1:A293),"")</f>
        <v>197</v>
      </c>
      <c r="B294" s="44" t="s">
        <v>82</v>
      </c>
      <c r="C294" s="38" t="s">
        <v>89</v>
      </c>
      <c r="D294" s="89"/>
      <c r="E294" s="24" t="s">
        <v>153</v>
      </c>
      <c r="F294" s="47">
        <f t="shared" ref="F294:F296" si="91">19.6*12</f>
        <v>235.20000000000002</v>
      </c>
      <c r="G294" s="48">
        <v>0.1</v>
      </c>
      <c r="H294" s="49">
        <f>F294*(1+G294)</f>
        <v>258.72000000000003</v>
      </c>
      <c r="I294" s="38" t="s">
        <v>16</v>
      </c>
      <c r="J294" s="53">
        <f>J$259</f>
        <v>0</v>
      </c>
      <c r="K294" s="51">
        <f>J294*H294</f>
        <v>0</v>
      </c>
      <c r="L294" s="43"/>
      <c r="M294" s="150"/>
    </row>
    <row r="295" spans="1:13" s="13" customFormat="1" x14ac:dyDescent="0.2">
      <c r="A295" s="36">
        <f>IF(F295&lt;&gt;"",1+MAX($A$1:A294),"")</f>
        <v>198</v>
      </c>
      <c r="B295" s="44" t="s">
        <v>82</v>
      </c>
      <c r="C295" s="38" t="s">
        <v>89</v>
      </c>
      <c r="D295" s="85"/>
      <c r="E295" s="24" t="s">
        <v>112</v>
      </c>
      <c r="F295" s="47">
        <f>19.6</f>
        <v>19.600000000000001</v>
      </c>
      <c r="G295" s="48">
        <v>0.1</v>
      </c>
      <c r="H295" s="49">
        <f t="shared" ref="H295" si="92">F295*(1+G295)</f>
        <v>21.560000000000002</v>
      </c>
      <c r="I295" s="38" t="s">
        <v>13</v>
      </c>
      <c r="J295" s="53">
        <f>J$264</f>
        <v>0</v>
      </c>
      <c r="K295" s="51">
        <f t="shared" ref="K295" si="93">J295*H295</f>
        <v>0</v>
      </c>
      <c r="L295" s="43"/>
      <c r="M295" s="150"/>
    </row>
    <row r="296" spans="1:13" s="13" customFormat="1" x14ac:dyDescent="0.2">
      <c r="A296" s="36">
        <f>IF(F296&lt;&gt;"",1+MAX($A$1:A295),"")</f>
        <v>199</v>
      </c>
      <c r="B296" s="44" t="s">
        <v>82</v>
      </c>
      <c r="C296" s="38" t="s">
        <v>89</v>
      </c>
      <c r="D296" s="89"/>
      <c r="E296" s="24" t="s">
        <v>47</v>
      </c>
      <c r="F296" s="47">
        <f t="shared" si="91"/>
        <v>235.20000000000002</v>
      </c>
      <c r="G296" s="48">
        <v>0.1</v>
      </c>
      <c r="H296" s="49">
        <f>F296*(1+G296)</f>
        <v>258.72000000000003</v>
      </c>
      <c r="I296" s="38" t="s">
        <v>16</v>
      </c>
      <c r="J296" s="53">
        <f>J$10</f>
        <v>0</v>
      </c>
      <c r="K296" s="51">
        <f>J296*H296</f>
        <v>0</v>
      </c>
      <c r="L296" s="43"/>
      <c r="M296" s="150"/>
    </row>
    <row r="297" spans="1:13" s="13" customFormat="1" x14ac:dyDescent="0.2">
      <c r="A297" s="36">
        <f>IF(F297&lt;&gt;"",1+MAX($A$1:A296),"")</f>
        <v>200</v>
      </c>
      <c r="B297" s="44" t="s">
        <v>82</v>
      </c>
      <c r="C297" s="38" t="s">
        <v>89</v>
      </c>
      <c r="D297" s="89"/>
      <c r="E297" s="24" t="s">
        <v>154</v>
      </c>
      <c r="F297" s="47">
        <f t="shared" ref="F297" si="94">19.6</f>
        <v>19.600000000000001</v>
      </c>
      <c r="G297" s="48">
        <v>0.1</v>
      </c>
      <c r="H297" s="49">
        <f>F297*(1+G297)</f>
        <v>21.560000000000002</v>
      </c>
      <c r="I297" s="38" t="s">
        <v>16</v>
      </c>
      <c r="J297" s="53">
        <f>J$266</f>
        <v>0</v>
      </c>
      <c r="K297" s="51">
        <f>J297*H297</f>
        <v>0</v>
      </c>
      <c r="L297" s="43"/>
      <c r="M297" s="150"/>
    </row>
    <row r="298" spans="1:13" s="13" customFormat="1" x14ac:dyDescent="0.2">
      <c r="A298" s="36" t="str">
        <f>IF(F298&lt;&gt;"",1+MAX($A$1:A297),"")</f>
        <v/>
      </c>
      <c r="B298" s="44"/>
      <c r="C298" s="38"/>
      <c r="D298" s="85"/>
      <c r="E298" s="90"/>
      <c r="F298" s="91"/>
      <c r="G298" s="92"/>
      <c r="H298" s="49"/>
      <c r="I298" s="38"/>
      <c r="J298" s="53"/>
      <c r="K298" s="51"/>
      <c r="L298" s="43"/>
      <c r="M298" s="150"/>
    </row>
    <row r="299" spans="1:13" s="13" customFormat="1" x14ac:dyDescent="0.2">
      <c r="A299" s="36" t="str">
        <f>IF(F299&lt;&gt;"",1+MAX($A$1:A298),"")</f>
        <v/>
      </c>
      <c r="B299" s="44"/>
      <c r="C299" s="38"/>
      <c r="D299" s="85"/>
      <c r="E299" s="88" t="s">
        <v>116</v>
      </c>
      <c r="F299" s="47"/>
      <c r="G299" s="87"/>
      <c r="H299" s="49"/>
      <c r="I299" s="38"/>
      <c r="J299" s="53"/>
      <c r="K299" s="51"/>
      <c r="L299" s="43"/>
      <c r="M299" s="150"/>
    </row>
    <row r="300" spans="1:13" s="13" customFormat="1" ht="47.25" x14ac:dyDescent="0.2">
      <c r="A300" s="36">
        <f>IF(F300&lt;&gt;"",1+MAX($A$1:A299),"")</f>
        <v>201</v>
      </c>
      <c r="B300" s="44" t="s">
        <v>82</v>
      </c>
      <c r="C300" s="38" t="s">
        <v>89</v>
      </c>
      <c r="D300" s="89"/>
      <c r="E300" s="24" t="s">
        <v>153</v>
      </c>
      <c r="F300" s="47">
        <f t="shared" ref="F300:F302" si="95">12.3*12</f>
        <v>147.60000000000002</v>
      </c>
      <c r="G300" s="48">
        <v>0.1</v>
      </c>
      <c r="H300" s="49">
        <f>F300*(1+G300)</f>
        <v>162.36000000000004</v>
      </c>
      <c r="I300" s="38" t="s">
        <v>16</v>
      </c>
      <c r="J300" s="53">
        <f>J$259</f>
        <v>0</v>
      </c>
      <c r="K300" s="51">
        <f>J300*H300</f>
        <v>0</v>
      </c>
      <c r="L300" s="43"/>
      <c r="M300" s="150"/>
    </row>
    <row r="301" spans="1:13" s="13" customFormat="1" x14ac:dyDescent="0.2">
      <c r="A301" s="36">
        <f>IF(F301&lt;&gt;"",1+MAX($A$1:A300),"")</f>
        <v>202</v>
      </c>
      <c r="B301" s="44" t="s">
        <v>82</v>
      </c>
      <c r="C301" s="38" t="s">
        <v>89</v>
      </c>
      <c r="D301" s="85"/>
      <c r="E301" s="24" t="s">
        <v>112</v>
      </c>
      <c r="F301" s="47">
        <f>12.3</f>
        <v>12.3</v>
      </c>
      <c r="G301" s="48">
        <v>0.1</v>
      </c>
      <c r="H301" s="49">
        <f t="shared" ref="H301" si="96">F301*(1+G301)</f>
        <v>13.530000000000001</v>
      </c>
      <c r="I301" s="38" t="s">
        <v>13</v>
      </c>
      <c r="J301" s="53">
        <f>J$264</f>
        <v>0</v>
      </c>
      <c r="K301" s="51">
        <f t="shared" ref="K301" si="97">J301*H301</f>
        <v>0</v>
      </c>
      <c r="L301" s="43"/>
      <c r="M301" s="150"/>
    </row>
    <row r="302" spans="1:13" s="13" customFormat="1" x14ac:dyDescent="0.2">
      <c r="A302" s="36">
        <f>IF(F302&lt;&gt;"",1+MAX($A$1:A301),"")</f>
        <v>203</v>
      </c>
      <c r="B302" s="44" t="s">
        <v>82</v>
      </c>
      <c r="C302" s="38" t="s">
        <v>89</v>
      </c>
      <c r="D302" s="89"/>
      <c r="E302" s="24" t="s">
        <v>47</v>
      </c>
      <c r="F302" s="47">
        <f t="shared" si="95"/>
        <v>147.60000000000002</v>
      </c>
      <c r="G302" s="48">
        <v>0.1</v>
      </c>
      <c r="H302" s="49">
        <f>F302*(1+G302)</f>
        <v>162.36000000000004</v>
      </c>
      <c r="I302" s="38" t="s">
        <v>16</v>
      </c>
      <c r="J302" s="53">
        <f>J$10</f>
        <v>0</v>
      </c>
      <c r="K302" s="51">
        <f>J302*H302</f>
        <v>0</v>
      </c>
      <c r="L302" s="43"/>
      <c r="M302" s="150"/>
    </row>
    <row r="303" spans="1:13" s="13" customFormat="1" x14ac:dyDescent="0.2">
      <c r="A303" s="36">
        <f>IF(F303&lt;&gt;"",1+MAX($A$1:A302),"")</f>
        <v>204</v>
      </c>
      <c r="B303" s="44" t="s">
        <v>82</v>
      </c>
      <c r="C303" s="38" t="s">
        <v>89</v>
      </c>
      <c r="D303" s="89"/>
      <c r="E303" s="24" t="s">
        <v>154</v>
      </c>
      <c r="F303" s="47">
        <f t="shared" ref="F303" si="98">12.3</f>
        <v>12.3</v>
      </c>
      <c r="G303" s="48">
        <v>0.1</v>
      </c>
      <c r="H303" s="49">
        <f>F303*(1+G303)</f>
        <v>13.530000000000001</v>
      </c>
      <c r="I303" s="38" t="s">
        <v>16</v>
      </c>
      <c r="J303" s="53">
        <f>J$266</f>
        <v>0</v>
      </c>
      <c r="K303" s="51">
        <f>J303*H303</f>
        <v>0</v>
      </c>
      <c r="L303" s="43"/>
      <c r="M303" s="150"/>
    </row>
    <row r="304" spans="1:13" s="13" customFormat="1" x14ac:dyDescent="0.2">
      <c r="A304" s="36" t="str">
        <f>IF(F304&lt;&gt;"",1+MAX($A$1:A303),"")</f>
        <v/>
      </c>
      <c r="B304" s="44"/>
      <c r="C304" s="38"/>
      <c r="D304" s="85"/>
      <c r="E304" s="90"/>
      <c r="F304" s="91"/>
      <c r="G304" s="92"/>
      <c r="H304" s="49"/>
      <c r="I304" s="38"/>
      <c r="J304" s="53"/>
      <c r="K304" s="51"/>
      <c r="L304" s="43"/>
      <c r="M304" s="150"/>
    </row>
    <row r="305" spans="1:13" s="13" customFormat="1" x14ac:dyDescent="0.2">
      <c r="A305" s="36" t="str">
        <f>IF(F305&lt;&gt;"",1+MAX($A$1:A304),"")</f>
        <v/>
      </c>
      <c r="B305" s="44"/>
      <c r="C305" s="38"/>
      <c r="D305" s="85"/>
      <c r="E305" s="86" t="s">
        <v>136</v>
      </c>
      <c r="F305" s="47"/>
      <c r="G305" s="87"/>
      <c r="H305" s="49"/>
      <c r="I305" s="38"/>
      <c r="J305" s="53"/>
      <c r="K305" s="51"/>
      <c r="L305" s="43"/>
      <c r="M305" s="150"/>
    </row>
    <row r="306" spans="1:13" s="13" customFormat="1" x14ac:dyDescent="0.2">
      <c r="A306" s="36" t="str">
        <f>IF(F306&lt;&gt;"",1+MAX($A$1:A305),"")</f>
        <v/>
      </c>
      <c r="B306" s="44"/>
      <c r="C306" s="38"/>
      <c r="D306" s="85"/>
      <c r="E306" s="88" t="s">
        <v>111</v>
      </c>
      <c r="F306" s="47"/>
      <c r="G306" s="87"/>
      <c r="H306" s="49"/>
      <c r="I306" s="38"/>
      <c r="J306" s="53"/>
      <c r="K306" s="51"/>
      <c r="L306" s="43"/>
      <c r="M306" s="150"/>
    </row>
    <row r="307" spans="1:13" s="13" customFormat="1" ht="47.25" x14ac:dyDescent="0.2">
      <c r="A307" s="36">
        <f>IF(F307&lt;&gt;"",1+MAX($A$1:A306),"")</f>
        <v>205</v>
      </c>
      <c r="B307" s="44" t="s">
        <v>82</v>
      </c>
      <c r="C307" s="38" t="s">
        <v>89</v>
      </c>
      <c r="D307" s="89"/>
      <c r="E307" s="24" t="s">
        <v>153</v>
      </c>
      <c r="F307" s="47">
        <f t="shared" ref="F307:F309" si="99">19.6*12</f>
        <v>235.20000000000002</v>
      </c>
      <c r="G307" s="48">
        <v>0.1</v>
      </c>
      <c r="H307" s="49">
        <f>F307*(1+G307)</f>
        <v>258.72000000000003</v>
      </c>
      <c r="I307" s="38" t="s">
        <v>16</v>
      </c>
      <c r="J307" s="53">
        <f>J$259</f>
        <v>0</v>
      </c>
      <c r="K307" s="51">
        <f>J307*H307</f>
        <v>0</v>
      </c>
      <c r="L307" s="43"/>
      <c r="M307" s="150"/>
    </row>
    <row r="308" spans="1:13" s="13" customFormat="1" x14ac:dyDescent="0.2">
      <c r="A308" s="36">
        <f>IF(F308&lt;&gt;"",1+MAX($A$1:A307),"")</f>
        <v>206</v>
      </c>
      <c r="B308" s="44" t="s">
        <v>82</v>
      </c>
      <c r="C308" s="38" t="s">
        <v>89</v>
      </c>
      <c r="D308" s="85"/>
      <c r="E308" s="24" t="s">
        <v>112</v>
      </c>
      <c r="F308" s="47">
        <f>19.6</f>
        <v>19.600000000000001</v>
      </c>
      <c r="G308" s="48">
        <v>0.1</v>
      </c>
      <c r="H308" s="49">
        <f t="shared" ref="H308" si="100">F308*(1+G308)</f>
        <v>21.560000000000002</v>
      </c>
      <c r="I308" s="38" t="s">
        <v>13</v>
      </c>
      <c r="J308" s="53">
        <f>J$264</f>
        <v>0</v>
      </c>
      <c r="K308" s="51">
        <f t="shared" ref="K308" si="101">J308*H308</f>
        <v>0</v>
      </c>
      <c r="L308" s="43"/>
      <c r="M308" s="150"/>
    </row>
    <row r="309" spans="1:13" s="13" customFormat="1" x14ac:dyDescent="0.2">
      <c r="A309" s="36">
        <f>IF(F309&lt;&gt;"",1+MAX($A$1:A308),"")</f>
        <v>207</v>
      </c>
      <c r="B309" s="44" t="s">
        <v>82</v>
      </c>
      <c r="C309" s="38" t="s">
        <v>89</v>
      </c>
      <c r="D309" s="89"/>
      <c r="E309" s="24" t="s">
        <v>47</v>
      </c>
      <c r="F309" s="47">
        <f t="shared" si="99"/>
        <v>235.20000000000002</v>
      </c>
      <c r="G309" s="48">
        <v>0.1</v>
      </c>
      <c r="H309" s="49">
        <f>F309*(1+G309)</f>
        <v>258.72000000000003</v>
      </c>
      <c r="I309" s="38" t="s">
        <v>16</v>
      </c>
      <c r="J309" s="53">
        <f>J$10</f>
        <v>0</v>
      </c>
      <c r="K309" s="51">
        <f>J309*H309</f>
        <v>0</v>
      </c>
      <c r="L309" s="43"/>
      <c r="M309" s="150"/>
    </row>
    <row r="310" spans="1:13" s="13" customFormat="1" x14ac:dyDescent="0.2">
      <c r="A310" s="36">
        <f>IF(F310&lt;&gt;"",1+MAX($A$1:A309),"")</f>
        <v>208</v>
      </c>
      <c r="B310" s="44" t="s">
        <v>82</v>
      </c>
      <c r="C310" s="38" t="s">
        <v>89</v>
      </c>
      <c r="D310" s="89"/>
      <c r="E310" s="24" t="s">
        <v>154</v>
      </c>
      <c r="F310" s="47">
        <f t="shared" ref="F310" si="102">19.6</f>
        <v>19.600000000000001</v>
      </c>
      <c r="G310" s="48">
        <v>0.1</v>
      </c>
      <c r="H310" s="49">
        <f>F310*(1+G310)</f>
        <v>21.560000000000002</v>
      </c>
      <c r="I310" s="38" t="s">
        <v>16</v>
      </c>
      <c r="J310" s="53">
        <f>J$266</f>
        <v>0</v>
      </c>
      <c r="K310" s="51">
        <f>J310*H310</f>
        <v>0</v>
      </c>
      <c r="L310" s="43"/>
      <c r="M310" s="150"/>
    </row>
    <row r="311" spans="1:13" s="13" customFormat="1" x14ac:dyDescent="0.2">
      <c r="A311" s="36" t="str">
        <f>IF(F311&lt;&gt;"",1+MAX($A$1:A310),"")</f>
        <v/>
      </c>
      <c r="B311" s="44"/>
      <c r="C311" s="38"/>
      <c r="D311" s="85"/>
      <c r="E311" s="90"/>
      <c r="F311" s="91"/>
      <c r="G311" s="92"/>
      <c r="H311" s="49"/>
      <c r="I311" s="38"/>
      <c r="J311" s="53"/>
      <c r="K311" s="51"/>
      <c r="L311" s="43"/>
      <c r="M311" s="150"/>
    </row>
    <row r="312" spans="1:13" s="13" customFormat="1" x14ac:dyDescent="0.2">
      <c r="A312" s="36" t="str">
        <f>IF(F312&lt;&gt;"",1+MAX($A$1:A311),"")</f>
        <v/>
      </c>
      <c r="B312" s="44"/>
      <c r="C312" s="38"/>
      <c r="D312" s="85"/>
      <c r="E312" s="88" t="s">
        <v>116</v>
      </c>
      <c r="F312" s="47"/>
      <c r="G312" s="87"/>
      <c r="H312" s="49"/>
      <c r="I312" s="38"/>
      <c r="J312" s="53"/>
      <c r="K312" s="51"/>
      <c r="L312" s="43"/>
      <c r="M312" s="150"/>
    </row>
    <row r="313" spans="1:13" s="13" customFormat="1" ht="47.25" x14ac:dyDescent="0.2">
      <c r="A313" s="36">
        <f>IF(F313&lt;&gt;"",1+MAX($A$1:A312),"")</f>
        <v>209</v>
      </c>
      <c r="B313" s="44" t="s">
        <v>82</v>
      </c>
      <c r="C313" s="38" t="s">
        <v>89</v>
      </c>
      <c r="D313" s="89"/>
      <c r="E313" s="24" t="s">
        <v>153</v>
      </c>
      <c r="F313" s="47">
        <f t="shared" ref="F313:F315" si="103">12.3*12</f>
        <v>147.60000000000002</v>
      </c>
      <c r="G313" s="48">
        <v>0.1</v>
      </c>
      <c r="H313" s="49">
        <f>F313*(1+G313)</f>
        <v>162.36000000000004</v>
      </c>
      <c r="I313" s="38" t="s">
        <v>16</v>
      </c>
      <c r="J313" s="53">
        <f>J$259</f>
        <v>0</v>
      </c>
      <c r="K313" s="51">
        <f>J313*H313</f>
        <v>0</v>
      </c>
      <c r="L313" s="43"/>
      <c r="M313" s="150"/>
    </row>
    <row r="314" spans="1:13" s="13" customFormat="1" x14ac:dyDescent="0.2">
      <c r="A314" s="36">
        <f>IF(F314&lt;&gt;"",1+MAX($A$1:A313),"")</f>
        <v>210</v>
      </c>
      <c r="B314" s="44" t="s">
        <v>82</v>
      </c>
      <c r="C314" s="38" t="s">
        <v>89</v>
      </c>
      <c r="D314" s="85"/>
      <c r="E314" s="24" t="s">
        <v>112</v>
      </c>
      <c r="F314" s="47">
        <f>12.3</f>
        <v>12.3</v>
      </c>
      <c r="G314" s="48">
        <v>0.1</v>
      </c>
      <c r="H314" s="49">
        <f t="shared" ref="H314" si="104">F314*(1+G314)</f>
        <v>13.530000000000001</v>
      </c>
      <c r="I314" s="38" t="s">
        <v>13</v>
      </c>
      <c r="J314" s="53">
        <f>J$264</f>
        <v>0</v>
      </c>
      <c r="K314" s="51">
        <f t="shared" ref="K314" si="105">J314*H314</f>
        <v>0</v>
      </c>
      <c r="L314" s="43"/>
      <c r="M314" s="150"/>
    </row>
    <row r="315" spans="1:13" s="13" customFormat="1" x14ac:dyDescent="0.2">
      <c r="A315" s="36">
        <f>IF(F315&lt;&gt;"",1+MAX($A$1:A314),"")</f>
        <v>211</v>
      </c>
      <c r="B315" s="44" t="s">
        <v>82</v>
      </c>
      <c r="C315" s="38" t="s">
        <v>89</v>
      </c>
      <c r="D315" s="89"/>
      <c r="E315" s="24" t="s">
        <v>47</v>
      </c>
      <c r="F315" s="47">
        <f t="shared" si="103"/>
        <v>147.60000000000002</v>
      </c>
      <c r="G315" s="48">
        <v>0.1</v>
      </c>
      <c r="H315" s="49">
        <f>F315*(1+G315)</f>
        <v>162.36000000000004</v>
      </c>
      <c r="I315" s="38" t="s">
        <v>16</v>
      </c>
      <c r="J315" s="53">
        <f>J$10</f>
        <v>0</v>
      </c>
      <c r="K315" s="51">
        <f>J315*H315</f>
        <v>0</v>
      </c>
      <c r="L315" s="43"/>
      <c r="M315" s="150"/>
    </row>
    <row r="316" spans="1:13" s="13" customFormat="1" x14ac:dyDescent="0.2">
      <c r="A316" s="36">
        <f>IF(F316&lt;&gt;"",1+MAX($A$1:A315),"")</f>
        <v>212</v>
      </c>
      <c r="B316" s="44" t="s">
        <v>82</v>
      </c>
      <c r="C316" s="38" t="s">
        <v>89</v>
      </c>
      <c r="D316" s="89"/>
      <c r="E316" s="24" t="s">
        <v>154</v>
      </c>
      <c r="F316" s="47">
        <f t="shared" ref="F316" si="106">12.3</f>
        <v>12.3</v>
      </c>
      <c r="G316" s="48">
        <v>0.1</v>
      </c>
      <c r="H316" s="49">
        <f>F316*(1+G316)</f>
        <v>13.530000000000001</v>
      </c>
      <c r="I316" s="38" t="s">
        <v>16</v>
      </c>
      <c r="J316" s="53">
        <f>J$266</f>
        <v>0</v>
      </c>
      <c r="K316" s="51">
        <f>J316*H316</f>
        <v>0</v>
      </c>
      <c r="L316" s="43"/>
      <c r="M316" s="150"/>
    </row>
    <row r="317" spans="1:13" s="13" customFormat="1" x14ac:dyDescent="0.2">
      <c r="A317" s="36" t="str">
        <f>IF(F317&lt;&gt;"",1+MAX($A$1:A316),"")</f>
        <v/>
      </c>
      <c r="B317" s="38"/>
      <c r="C317" s="38"/>
      <c r="D317" s="44"/>
      <c r="E317" s="40"/>
      <c r="F317" s="41"/>
      <c r="G317" s="54"/>
      <c r="H317" s="41"/>
      <c r="I317" s="37"/>
      <c r="J317" s="51"/>
      <c r="K317" s="51"/>
      <c r="L317" s="51"/>
      <c r="M317" s="150"/>
    </row>
    <row r="318" spans="1:13" s="13" customFormat="1" x14ac:dyDescent="0.2">
      <c r="A318" s="36" t="str">
        <f>IF(F318&lt;&gt;"",1+MAX($A$1:A317),"")</f>
        <v/>
      </c>
      <c r="B318" s="38"/>
      <c r="C318" s="38"/>
      <c r="D318" s="44"/>
      <c r="E318" s="55" t="s">
        <v>84</v>
      </c>
      <c r="F318" s="52"/>
      <c r="G318" s="54"/>
      <c r="H318" s="41"/>
      <c r="I318" s="37"/>
      <c r="J318" s="51"/>
      <c r="K318" s="56"/>
      <c r="L318" s="56">
        <f>SUM(K256:K317)</f>
        <v>0</v>
      </c>
      <c r="M318" s="150"/>
    </row>
    <row r="319" spans="1:13" s="13" customFormat="1" x14ac:dyDescent="0.2">
      <c r="A319" s="36" t="str">
        <f>IF(F319&lt;&gt;"",1+MAX($A$1:A318),"")</f>
        <v/>
      </c>
      <c r="B319" s="38"/>
      <c r="C319" s="38"/>
      <c r="D319" s="44"/>
      <c r="E319" s="55"/>
      <c r="F319" s="47"/>
      <c r="G319" s="87"/>
      <c r="H319" s="49"/>
      <c r="I319" s="38"/>
      <c r="J319" s="53"/>
      <c r="K319" s="51"/>
      <c r="L319" s="43"/>
      <c r="M319" s="150"/>
    </row>
    <row r="320" spans="1:13" x14ac:dyDescent="0.2">
      <c r="A320" s="36" t="str">
        <f>IF(F320&lt;&gt;"",1+MAX($A$1:A319),"")</f>
        <v/>
      </c>
      <c r="B320" s="44"/>
      <c r="C320" s="44"/>
      <c r="D320" s="44"/>
      <c r="E320" s="55" t="s">
        <v>158</v>
      </c>
      <c r="F320" s="47"/>
      <c r="G320" s="87"/>
      <c r="H320" s="49"/>
      <c r="I320" s="38"/>
      <c r="J320" s="79"/>
      <c r="K320" s="93"/>
      <c r="L320" s="133"/>
      <c r="M320" s="153"/>
    </row>
    <row r="321" spans="1:13" s="15" customFormat="1" ht="18.75" x14ac:dyDescent="0.2">
      <c r="A321" s="36">
        <f>IF(F321&lt;&gt;"",1+MAX($A$1:A320),"")</f>
        <v>213</v>
      </c>
      <c r="B321" s="44" t="s">
        <v>159</v>
      </c>
      <c r="C321" s="64"/>
      <c r="D321" s="75"/>
      <c r="E321" s="46" t="s">
        <v>160</v>
      </c>
      <c r="F321" s="52">
        <v>592</v>
      </c>
      <c r="G321" s="48">
        <v>0.1</v>
      </c>
      <c r="H321" s="41">
        <f t="shared" ref="H321" si="107">F321*(1+G321)</f>
        <v>651.20000000000005</v>
      </c>
      <c r="I321" s="37" t="s">
        <v>16</v>
      </c>
      <c r="J321" s="53">
        <v>0</v>
      </c>
      <c r="K321" s="42">
        <f>J321*H321</f>
        <v>0</v>
      </c>
      <c r="L321" s="134"/>
      <c r="M321" s="154"/>
    </row>
    <row r="322" spans="1:13" x14ac:dyDescent="0.2">
      <c r="A322" s="36" t="str">
        <f>IF(F322&lt;&gt;"",1+MAX($A$1:A321),"")</f>
        <v/>
      </c>
      <c r="B322" s="44"/>
      <c r="C322" s="44"/>
      <c r="D322" s="85"/>
      <c r="E322" s="40"/>
      <c r="F322" s="49"/>
      <c r="G322" s="87"/>
      <c r="H322" s="49"/>
      <c r="I322" s="38"/>
      <c r="J322" s="94"/>
      <c r="K322" s="95"/>
      <c r="L322" s="40"/>
      <c r="M322" s="153"/>
    </row>
    <row r="323" spans="1:13" x14ac:dyDescent="0.2">
      <c r="A323" s="36" t="str">
        <f>IF(F323&lt;&gt;"",1+MAX($A$1:A322),"")</f>
        <v/>
      </c>
      <c r="B323" s="44"/>
      <c r="C323" s="44"/>
      <c r="D323" s="85"/>
      <c r="E323" s="55" t="s">
        <v>344</v>
      </c>
      <c r="F323" s="47"/>
      <c r="G323" s="87"/>
      <c r="H323" s="49"/>
      <c r="I323" s="38"/>
      <c r="J323" s="94"/>
      <c r="K323" s="56"/>
      <c r="L323" s="56">
        <f>SUM(K320:K322)</f>
        <v>0</v>
      </c>
      <c r="M323" s="153"/>
    </row>
    <row r="324" spans="1:13" s="13" customFormat="1" x14ac:dyDescent="0.2">
      <c r="A324" s="36" t="str">
        <f>IF(F324&lt;&gt;"",1+MAX($A$1:A323),"")</f>
        <v/>
      </c>
      <c r="B324" s="38"/>
      <c r="C324" s="38"/>
      <c r="D324" s="44"/>
      <c r="E324" s="55"/>
      <c r="F324" s="47"/>
      <c r="G324" s="87"/>
      <c r="H324" s="49"/>
      <c r="I324" s="38"/>
      <c r="J324" s="53"/>
      <c r="K324" s="51"/>
      <c r="L324" s="43"/>
      <c r="M324" s="150"/>
    </row>
    <row r="325" spans="1:13" x14ac:dyDescent="0.2">
      <c r="A325" s="36" t="str">
        <f>IF(F325&lt;&gt;"",1+MAX($A$1:A324),"")</f>
        <v/>
      </c>
      <c r="B325" s="44"/>
      <c r="C325" s="44"/>
      <c r="D325" s="44"/>
      <c r="E325" s="55" t="s">
        <v>161</v>
      </c>
      <c r="F325" s="47"/>
      <c r="G325" s="87"/>
      <c r="H325" s="49"/>
      <c r="I325" s="38"/>
      <c r="J325" s="79"/>
      <c r="K325" s="93"/>
      <c r="L325" s="133"/>
      <c r="M325" s="153"/>
    </row>
    <row r="326" spans="1:13" s="15" customFormat="1" ht="63" x14ac:dyDescent="0.2">
      <c r="A326" s="36">
        <f>IF(F326&lt;&gt;"",1+MAX($A$1:A325),"")</f>
        <v>214</v>
      </c>
      <c r="B326" s="44" t="s">
        <v>159</v>
      </c>
      <c r="C326" s="64" t="s">
        <v>162</v>
      </c>
      <c r="D326" s="75"/>
      <c r="E326" s="46" t="s">
        <v>419</v>
      </c>
      <c r="F326" s="52">
        <v>906</v>
      </c>
      <c r="G326" s="48">
        <v>0.1</v>
      </c>
      <c r="H326" s="41">
        <f t="shared" ref="H326:H329" si="108">F326*(1+G326)</f>
        <v>996.60000000000014</v>
      </c>
      <c r="I326" s="37" t="s">
        <v>16</v>
      </c>
      <c r="J326" s="53">
        <v>0</v>
      </c>
      <c r="K326" s="42">
        <f>J326*H326</f>
        <v>0</v>
      </c>
      <c r="L326" s="134"/>
      <c r="M326" s="154"/>
    </row>
    <row r="327" spans="1:13" s="15" customFormat="1" ht="18.75" x14ac:dyDescent="0.2">
      <c r="A327" s="36">
        <f>IF(F327&lt;&gt;"",1+MAX($A$1:A326),"")</f>
        <v>215</v>
      </c>
      <c r="B327" s="44" t="s">
        <v>159</v>
      </c>
      <c r="C327" s="64"/>
      <c r="D327" s="75"/>
      <c r="E327" s="46" t="s">
        <v>163</v>
      </c>
      <c r="F327" s="52">
        <v>36</v>
      </c>
      <c r="G327" s="48">
        <v>0.1</v>
      </c>
      <c r="H327" s="41">
        <f t="shared" si="108"/>
        <v>39.6</v>
      </c>
      <c r="I327" s="37" t="s">
        <v>13</v>
      </c>
      <c r="J327" s="53">
        <v>0</v>
      </c>
      <c r="K327" s="42">
        <f>J327*H327</f>
        <v>0</v>
      </c>
      <c r="L327" s="134"/>
      <c r="M327" s="154"/>
    </row>
    <row r="328" spans="1:13" s="15" customFormat="1" ht="18.75" x14ac:dyDescent="0.2">
      <c r="A328" s="36">
        <f>IF(F328&lt;&gt;"",1+MAX($A$1:A327),"")</f>
        <v>216</v>
      </c>
      <c r="B328" s="44" t="s">
        <v>159</v>
      </c>
      <c r="C328" s="64"/>
      <c r="D328" s="75"/>
      <c r="E328" s="46" t="s">
        <v>164</v>
      </c>
      <c r="F328" s="52">
        <v>46.7</v>
      </c>
      <c r="G328" s="48">
        <v>0.1</v>
      </c>
      <c r="H328" s="41">
        <f t="shared" si="108"/>
        <v>51.370000000000005</v>
      </c>
      <c r="I328" s="37" t="s">
        <v>13</v>
      </c>
      <c r="J328" s="53">
        <v>0</v>
      </c>
      <c r="K328" s="42">
        <f>J328*H328</f>
        <v>0</v>
      </c>
      <c r="L328" s="134"/>
      <c r="M328" s="154"/>
    </row>
    <row r="329" spans="1:13" s="15" customFormat="1" ht="18.75" x14ac:dyDescent="0.2">
      <c r="A329" s="36">
        <f>IF(F329&lt;&gt;"",1+MAX($A$1:A328),"")</f>
        <v>217</v>
      </c>
      <c r="B329" s="44" t="s">
        <v>159</v>
      </c>
      <c r="C329" s="64"/>
      <c r="D329" s="75"/>
      <c r="E329" s="46" t="s">
        <v>165</v>
      </c>
      <c r="F329" s="52">
        <v>35.9</v>
      </c>
      <c r="G329" s="48">
        <v>0.1</v>
      </c>
      <c r="H329" s="41">
        <f t="shared" si="108"/>
        <v>39.49</v>
      </c>
      <c r="I329" s="37" t="s">
        <v>13</v>
      </c>
      <c r="J329" s="77">
        <f>J$328</f>
        <v>0</v>
      </c>
      <c r="K329" s="42">
        <f>J329*H329</f>
        <v>0</v>
      </c>
      <c r="L329" s="134"/>
      <c r="M329" s="154"/>
    </row>
    <row r="330" spans="1:13" x14ac:dyDescent="0.2">
      <c r="A330" s="36" t="str">
        <f>IF(F330&lt;&gt;"",1+MAX($A$1:A329),"")</f>
        <v/>
      </c>
      <c r="B330" s="44"/>
      <c r="C330" s="44"/>
      <c r="D330" s="85"/>
      <c r="E330" s="40"/>
      <c r="F330" s="49"/>
      <c r="G330" s="87"/>
      <c r="H330" s="49"/>
      <c r="I330" s="38"/>
      <c r="J330" s="94"/>
      <c r="K330" s="95"/>
      <c r="L330" s="40"/>
      <c r="M330" s="153"/>
    </row>
    <row r="331" spans="1:13" x14ac:dyDescent="0.2">
      <c r="A331" s="36" t="str">
        <f>IF(F331&lt;&gt;"",1+MAX($A$1:A330),"")</f>
        <v/>
      </c>
      <c r="B331" s="44"/>
      <c r="C331" s="44"/>
      <c r="D331" s="85"/>
      <c r="E331" s="55" t="s">
        <v>343</v>
      </c>
      <c r="F331" s="47"/>
      <c r="G331" s="87"/>
      <c r="H331" s="49"/>
      <c r="I331" s="38"/>
      <c r="J331" s="94"/>
      <c r="K331" s="56"/>
      <c r="L331" s="56">
        <f>SUM(K325:K330)</f>
        <v>0</v>
      </c>
      <c r="M331" s="153"/>
    </row>
    <row r="332" spans="1:13" s="15" customFormat="1" ht="18.75" x14ac:dyDescent="0.2">
      <c r="A332" s="36" t="str">
        <f>IF(F332&lt;&gt;"",1+MAX($A$1:A331),"")</f>
        <v/>
      </c>
      <c r="B332" s="64"/>
      <c r="C332" s="64"/>
      <c r="D332" s="75"/>
      <c r="E332" s="46"/>
      <c r="F332" s="52"/>
      <c r="G332" s="48"/>
      <c r="H332" s="48"/>
      <c r="I332" s="48"/>
      <c r="J332" s="48"/>
      <c r="K332" s="42"/>
      <c r="L332" s="134"/>
      <c r="M332" s="154"/>
    </row>
    <row r="333" spans="1:13" x14ac:dyDescent="0.2">
      <c r="A333" s="36" t="str">
        <f>IF(F333&lt;&gt;"",1+MAX($A$1:A332),"")</f>
        <v/>
      </c>
      <c r="B333" s="58"/>
      <c r="C333" s="59"/>
      <c r="D333" s="96" t="s">
        <v>353</v>
      </c>
      <c r="E333" s="60" t="s">
        <v>354</v>
      </c>
      <c r="F333" s="40"/>
      <c r="G333" s="40"/>
      <c r="H333" s="40"/>
      <c r="I333" s="40"/>
      <c r="J333" s="40"/>
      <c r="K333" s="40"/>
      <c r="L333" s="40"/>
      <c r="M333" s="153"/>
    </row>
    <row r="334" spans="1:13" s="13" customFormat="1" x14ac:dyDescent="0.2">
      <c r="A334" s="36" t="str">
        <f>IF(F334&lt;&gt;"",1+MAX($A$1:A333),"")</f>
        <v/>
      </c>
      <c r="B334" s="37"/>
      <c r="C334" s="38"/>
      <c r="D334" s="39"/>
      <c r="E334" s="39" t="s">
        <v>382</v>
      </c>
      <c r="F334" s="40"/>
      <c r="G334" s="40"/>
      <c r="H334" s="41"/>
      <c r="I334" s="37"/>
      <c r="J334" s="42"/>
      <c r="K334" s="43"/>
      <c r="L334" s="43"/>
      <c r="M334" s="150"/>
    </row>
    <row r="335" spans="1:13" s="13" customFormat="1" x14ac:dyDescent="0.2">
      <c r="A335" s="36" t="str">
        <f>IF(F335&lt;&gt;"",1+MAX($A$1:A334),"")</f>
        <v/>
      </c>
      <c r="B335" s="44"/>
      <c r="C335" s="44"/>
      <c r="D335" s="85"/>
      <c r="E335" s="88" t="s">
        <v>384</v>
      </c>
      <c r="F335" s="47"/>
      <c r="G335" s="87"/>
      <c r="H335" s="49"/>
      <c r="I335" s="38"/>
      <c r="J335" s="53"/>
      <c r="K335" s="51"/>
      <c r="L335" s="43"/>
      <c r="M335" s="150"/>
    </row>
    <row r="336" spans="1:13" s="13" customFormat="1" x14ac:dyDescent="0.2">
      <c r="A336" s="36">
        <f>IF(F336&lt;&gt;"",1+MAX($A$1:A335),"")</f>
        <v>218</v>
      </c>
      <c r="B336" s="44" t="s">
        <v>82</v>
      </c>
      <c r="C336" s="38"/>
      <c r="D336" s="45"/>
      <c r="E336" s="24" t="s">
        <v>388</v>
      </c>
      <c r="F336" s="47">
        <f>6*12.5*33</f>
        <v>2475</v>
      </c>
      <c r="G336" s="48">
        <v>0.1</v>
      </c>
      <c r="H336" s="49">
        <f>F336*(1+G336)</f>
        <v>2722.5</v>
      </c>
      <c r="I336" s="38" t="s">
        <v>271</v>
      </c>
      <c r="J336" s="53">
        <v>0</v>
      </c>
      <c r="K336" s="51">
        <f>J336*H336</f>
        <v>0</v>
      </c>
      <c r="L336" s="43"/>
      <c r="M336" s="150"/>
    </row>
    <row r="337" spans="1:13" s="13" customFormat="1" x14ac:dyDescent="0.2">
      <c r="A337" s="36" t="str">
        <f>IF(F337&lt;&gt;"",1+MAX($A$1:A336),"")</f>
        <v/>
      </c>
      <c r="B337" s="44"/>
      <c r="C337" s="44"/>
      <c r="D337" s="85"/>
      <c r="E337" s="88" t="s">
        <v>385</v>
      </c>
      <c r="F337" s="47"/>
      <c r="G337" s="87"/>
      <c r="H337" s="49"/>
      <c r="I337" s="38"/>
      <c r="J337" s="53"/>
      <c r="K337" s="51"/>
      <c r="L337" s="43"/>
      <c r="M337" s="150"/>
    </row>
    <row r="338" spans="1:13" s="13" customFormat="1" x14ac:dyDescent="0.2">
      <c r="A338" s="36">
        <f>IF(F338&lt;&gt;"",1+MAX($A$1:A337),"")</f>
        <v>219</v>
      </c>
      <c r="B338" s="44" t="s">
        <v>82</v>
      </c>
      <c r="C338" s="38"/>
      <c r="D338" s="45"/>
      <c r="E338" s="24" t="s">
        <v>389</v>
      </c>
      <c r="F338" s="47">
        <f>23.4*22</f>
        <v>514.79999999999995</v>
      </c>
      <c r="G338" s="48">
        <v>0.1</v>
      </c>
      <c r="H338" s="49">
        <f>F338*(1+G338)</f>
        <v>566.28</v>
      </c>
      <c r="I338" s="38" t="s">
        <v>271</v>
      </c>
      <c r="J338" s="53">
        <f>J$336</f>
        <v>0</v>
      </c>
      <c r="K338" s="51">
        <f>J338*H338</f>
        <v>0</v>
      </c>
      <c r="L338" s="43"/>
      <c r="M338" s="150"/>
    </row>
    <row r="339" spans="1:13" s="13" customFormat="1" x14ac:dyDescent="0.2">
      <c r="A339" s="36">
        <f>IF(F339&lt;&gt;"",1+MAX($A$1:A338),"")</f>
        <v>220</v>
      </c>
      <c r="B339" s="44" t="s">
        <v>82</v>
      </c>
      <c r="C339" s="38"/>
      <c r="D339" s="45"/>
      <c r="E339" s="24" t="s">
        <v>390</v>
      </c>
      <c r="F339" s="47">
        <f>21.4*31</f>
        <v>663.4</v>
      </c>
      <c r="G339" s="48">
        <v>0.1</v>
      </c>
      <c r="H339" s="49">
        <f>F339*(1+G339)</f>
        <v>729.74</v>
      </c>
      <c r="I339" s="38" t="s">
        <v>271</v>
      </c>
      <c r="J339" s="53">
        <f t="shared" ref="J339:J347" si="109">J$336</f>
        <v>0</v>
      </c>
      <c r="K339" s="51">
        <f>J339*H339</f>
        <v>0</v>
      </c>
      <c r="L339" s="43"/>
      <c r="M339" s="150"/>
    </row>
    <row r="340" spans="1:13" s="13" customFormat="1" x14ac:dyDescent="0.2">
      <c r="A340" s="36">
        <f>IF(F340&lt;&gt;"",1+MAX($A$1:A339),"")</f>
        <v>221</v>
      </c>
      <c r="B340" s="44" t="s">
        <v>82</v>
      </c>
      <c r="C340" s="38"/>
      <c r="D340" s="45"/>
      <c r="E340" s="24" t="s">
        <v>391</v>
      </c>
      <c r="F340" s="47">
        <f>58.3*44</f>
        <v>2565.1999999999998</v>
      </c>
      <c r="G340" s="48">
        <v>0.1</v>
      </c>
      <c r="H340" s="49">
        <f>F340*(1+G340)</f>
        <v>2821.7200000000003</v>
      </c>
      <c r="I340" s="38" t="s">
        <v>271</v>
      </c>
      <c r="J340" s="53">
        <f t="shared" si="109"/>
        <v>0</v>
      </c>
      <c r="K340" s="51">
        <f>J340*H340</f>
        <v>0</v>
      </c>
      <c r="L340" s="43"/>
      <c r="M340" s="150"/>
    </row>
    <row r="341" spans="1:13" s="13" customFormat="1" x14ac:dyDescent="0.2">
      <c r="A341" s="36">
        <f>IF(F341&lt;&gt;"",1+MAX($A$1:A340),"")</f>
        <v>222</v>
      </c>
      <c r="B341" s="44" t="s">
        <v>82</v>
      </c>
      <c r="C341" s="38"/>
      <c r="D341" s="45"/>
      <c r="E341" s="24" t="s">
        <v>392</v>
      </c>
      <c r="F341" s="47">
        <f>26.3*68</f>
        <v>1788.4</v>
      </c>
      <c r="G341" s="48">
        <v>0.1</v>
      </c>
      <c r="H341" s="49">
        <f>F341*(1+G341)</f>
        <v>1967.2400000000002</v>
      </c>
      <c r="I341" s="38" t="s">
        <v>271</v>
      </c>
      <c r="J341" s="53">
        <f t="shared" si="109"/>
        <v>0</v>
      </c>
      <c r="K341" s="51">
        <f>J341*H341</f>
        <v>0</v>
      </c>
      <c r="L341" s="43"/>
      <c r="M341" s="150"/>
    </row>
    <row r="342" spans="1:13" s="13" customFormat="1" x14ac:dyDescent="0.2">
      <c r="A342" s="36">
        <f>IF(F342&lt;&gt;"",1+MAX($A$1:A341),"")</f>
        <v>223</v>
      </c>
      <c r="B342" s="44" t="s">
        <v>82</v>
      </c>
      <c r="C342" s="38"/>
      <c r="D342" s="45"/>
      <c r="E342" s="24" t="s">
        <v>393</v>
      </c>
      <c r="F342" s="47">
        <f>9.2*24</f>
        <v>220.79999999999998</v>
      </c>
      <c r="G342" s="48">
        <v>0.1</v>
      </c>
      <c r="H342" s="49">
        <f>F342*(1+G342)</f>
        <v>242.88</v>
      </c>
      <c r="I342" s="38" t="s">
        <v>271</v>
      </c>
      <c r="J342" s="53">
        <f t="shared" si="109"/>
        <v>0</v>
      </c>
      <c r="K342" s="51">
        <f>J342*H342</f>
        <v>0</v>
      </c>
      <c r="L342" s="43"/>
      <c r="M342" s="150"/>
    </row>
    <row r="343" spans="1:13" s="13" customFormat="1" x14ac:dyDescent="0.2">
      <c r="A343" s="36" t="str">
        <f>IF(F343&lt;&gt;"",1+MAX($A$1:A342),"")</f>
        <v/>
      </c>
      <c r="B343" s="44"/>
      <c r="C343" s="44"/>
      <c r="D343" s="85"/>
      <c r="E343" s="88" t="s">
        <v>386</v>
      </c>
      <c r="F343" s="47"/>
      <c r="G343" s="87"/>
      <c r="H343" s="49"/>
      <c r="I343" s="38"/>
      <c r="J343" s="53"/>
      <c r="K343" s="51"/>
      <c r="L343" s="43"/>
      <c r="M343" s="150"/>
    </row>
    <row r="344" spans="1:13" s="13" customFormat="1" ht="31.5" x14ac:dyDescent="0.2">
      <c r="A344" s="36">
        <f>IF(F344&lt;&gt;"",1+MAX($A$1:A343),"")</f>
        <v>224</v>
      </c>
      <c r="B344" s="44" t="s">
        <v>82</v>
      </c>
      <c r="C344" s="38"/>
      <c r="D344" s="45"/>
      <c r="E344" s="24" t="s">
        <v>397</v>
      </c>
      <c r="F344" s="47">
        <f>6*72.6016</f>
        <v>435.6096</v>
      </c>
      <c r="G344" s="48">
        <v>0.1</v>
      </c>
      <c r="H344" s="49">
        <f>F344*(1+G344)</f>
        <v>479.17056000000002</v>
      </c>
      <c r="I344" s="38" t="s">
        <v>271</v>
      </c>
      <c r="J344" s="53">
        <f t="shared" si="109"/>
        <v>0</v>
      </c>
      <c r="K344" s="51">
        <f>J344*H344</f>
        <v>0</v>
      </c>
      <c r="L344" s="43"/>
      <c r="M344" s="150"/>
    </row>
    <row r="345" spans="1:13" s="13" customFormat="1" x14ac:dyDescent="0.2">
      <c r="A345" s="36" t="str">
        <f>IF(F345&lt;&gt;"",1+MAX($A$1:A344),"")</f>
        <v/>
      </c>
      <c r="B345" s="44"/>
      <c r="C345" s="44"/>
      <c r="D345" s="85"/>
      <c r="E345" s="88" t="s">
        <v>387</v>
      </c>
      <c r="F345" s="47"/>
      <c r="G345" s="87"/>
      <c r="H345" s="49"/>
      <c r="I345" s="38"/>
      <c r="J345" s="53"/>
      <c r="K345" s="51"/>
      <c r="L345" s="43"/>
      <c r="M345" s="150"/>
    </row>
    <row r="346" spans="1:13" s="13" customFormat="1" ht="31.5" x14ac:dyDescent="0.2">
      <c r="A346" s="36">
        <f>IF(F346&lt;&gt;"",1+MAX($A$1:A345),"")</f>
        <v>225</v>
      </c>
      <c r="B346" s="44" t="s">
        <v>82</v>
      </c>
      <c r="C346" s="38"/>
      <c r="D346" s="45"/>
      <c r="E346" s="24" t="s">
        <v>398</v>
      </c>
      <c r="F346" s="47">
        <f>4*15.8816</f>
        <v>63.526400000000002</v>
      </c>
      <c r="G346" s="48">
        <v>0.1</v>
      </c>
      <c r="H346" s="49">
        <f>F346*(1+G346)</f>
        <v>69.879040000000003</v>
      </c>
      <c r="I346" s="38" t="s">
        <v>271</v>
      </c>
      <c r="J346" s="53">
        <f t="shared" si="109"/>
        <v>0</v>
      </c>
      <c r="K346" s="51">
        <f>J346*H346</f>
        <v>0</v>
      </c>
      <c r="L346" s="43"/>
      <c r="M346" s="150"/>
    </row>
    <row r="347" spans="1:13" s="13" customFormat="1" ht="31.5" x14ac:dyDescent="0.2">
      <c r="A347" s="36">
        <f>IF(F347&lt;&gt;"",1+MAX($A$1:A346),"")</f>
        <v>226</v>
      </c>
      <c r="B347" s="44" t="s">
        <v>82</v>
      </c>
      <c r="C347" s="38"/>
      <c r="D347" s="45"/>
      <c r="E347" s="24" t="s">
        <v>399</v>
      </c>
      <c r="F347" s="47">
        <f>2*6.8064</f>
        <v>13.6128</v>
      </c>
      <c r="G347" s="48">
        <v>0.1</v>
      </c>
      <c r="H347" s="49">
        <f>F347*(1+G347)</f>
        <v>14.974080000000001</v>
      </c>
      <c r="I347" s="38" t="s">
        <v>271</v>
      </c>
      <c r="J347" s="53">
        <f t="shared" si="109"/>
        <v>0</v>
      </c>
      <c r="K347" s="51">
        <f>J347*H347</f>
        <v>0</v>
      </c>
      <c r="L347" s="43"/>
      <c r="M347" s="150"/>
    </row>
    <row r="348" spans="1:13" s="13" customFormat="1" x14ac:dyDescent="0.2">
      <c r="A348" s="36" t="str">
        <f>IF(F348&lt;&gt;"",1+MAX($A$1:A347),"")</f>
        <v/>
      </c>
      <c r="B348" s="44"/>
      <c r="C348" s="44"/>
      <c r="D348" s="85"/>
      <c r="E348" s="88" t="s">
        <v>401</v>
      </c>
      <c r="F348" s="47"/>
      <c r="G348" s="87"/>
      <c r="H348" s="49"/>
      <c r="I348" s="38"/>
      <c r="J348" s="53"/>
      <c r="K348" s="51"/>
      <c r="L348" s="43"/>
      <c r="M348" s="150"/>
    </row>
    <row r="349" spans="1:13" s="13" customFormat="1" x14ac:dyDescent="0.2">
      <c r="A349" s="36">
        <f>IF(F349&lt;&gt;"",1+MAX($A$1:A348),"")</f>
        <v>227</v>
      </c>
      <c r="B349" s="44" t="s">
        <v>82</v>
      </c>
      <c r="C349" s="38"/>
      <c r="D349" s="45"/>
      <c r="E349" s="24" t="s">
        <v>400</v>
      </c>
      <c r="F349" s="47">
        <f>(12.3+18)*12.3</f>
        <v>372.69000000000005</v>
      </c>
      <c r="G349" s="48">
        <v>0.1</v>
      </c>
      <c r="H349" s="49">
        <f>F349*(1+G349)</f>
        <v>409.95900000000012</v>
      </c>
      <c r="I349" s="38" t="s">
        <v>271</v>
      </c>
      <c r="J349" s="53">
        <f t="shared" ref="J349:J350" si="110">J$336</f>
        <v>0</v>
      </c>
      <c r="K349" s="51">
        <f>J349*H349</f>
        <v>0</v>
      </c>
      <c r="L349" s="43"/>
      <c r="M349" s="150"/>
    </row>
    <row r="350" spans="1:13" s="13" customFormat="1" x14ac:dyDescent="0.2">
      <c r="A350" s="36">
        <f>IF(F350&lt;&gt;"",1+MAX($A$1:A349),"")</f>
        <v>228</v>
      </c>
      <c r="B350" s="44" t="s">
        <v>82</v>
      </c>
      <c r="C350" s="38"/>
      <c r="D350" s="45"/>
      <c r="E350" s="24" t="s">
        <v>402</v>
      </c>
      <c r="F350" s="47">
        <f>44*8.7</f>
        <v>382.79999999999995</v>
      </c>
      <c r="G350" s="48">
        <v>0.1</v>
      </c>
      <c r="H350" s="49">
        <f>F350*(1+G350)</f>
        <v>421.08</v>
      </c>
      <c r="I350" s="38" t="s">
        <v>271</v>
      </c>
      <c r="J350" s="53">
        <f t="shared" si="110"/>
        <v>0</v>
      </c>
      <c r="K350" s="51">
        <f>J350*H350</f>
        <v>0</v>
      </c>
      <c r="L350" s="43"/>
      <c r="M350" s="150"/>
    </row>
    <row r="351" spans="1:13" s="13" customFormat="1" x14ac:dyDescent="0.2">
      <c r="A351" s="36" t="str">
        <f>IF(F351&lt;&gt;"",1+MAX($A$1:A350),"")</f>
        <v/>
      </c>
      <c r="B351" s="44"/>
      <c r="C351" s="44"/>
      <c r="D351" s="85"/>
      <c r="E351" s="88" t="s">
        <v>395</v>
      </c>
      <c r="F351" s="47"/>
      <c r="G351" s="87"/>
      <c r="H351" s="49"/>
      <c r="I351" s="38"/>
      <c r="J351" s="53"/>
      <c r="K351" s="51"/>
      <c r="L351" s="43"/>
      <c r="M351" s="150"/>
    </row>
    <row r="352" spans="1:13" s="13" customFormat="1" x14ac:dyDescent="0.2">
      <c r="A352" s="36">
        <f>IF(F352&lt;&gt;"",1+MAX($A$1:A351),"")</f>
        <v>229</v>
      </c>
      <c r="B352" s="44" t="s">
        <v>82</v>
      </c>
      <c r="C352" s="38"/>
      <c r="D352" s="45"/>
      <c r="E352" s="24" t="s">
        <v>394</v>
      </c>
      <c r="F352" s="47">
        <f>6*4</f>
        <v>24</v>
      </c>
      <c r="G352" s="48">
        <v>0</v>
      </c>
      <c r="H352" s="49">
        <f>F352*(1+G352)</f>
        <v>24</v>
      </c>
      <c r="I352" s="38" t="s">
        <v>360</v>
      </c>
      <c r="J352" s="53">
        <v>0</v>
      </c>
      <c r="K352" s="51">
        <f>J352*H352</f>
        <v>0</v>
      </c>
      <c r="L352" s="43"/>
      <c r="M352" s="150"/>
    </row>
    <row r="353" spans="1:13" s="13" customFormat="1" x14ac:dyDescent="0.2">
      <c r="A353" s="36">
        <f>IF(F353&lt;&gt;"",1+MAX($A$1:A352),"")</f>
        <v>230</v>
      </c>
      <c r="B353" s="44" t="s">
        <v>82</v>
      </c>
      <c r="C353" s="38"/>
      <c r="D353" s="45"/>
      <c r="E353" s="24" t="s">
        <v>396</v>
      </c>
      <c r="F353" s="47">
        <f>6*2</f>
        <v>12</v>
      </c>
      <c r="G353" s="48">
        <v>0</v>
      </c>
      <c r="H353" s="49">
        <f>F353*(1+G353)</f>
        <v>12</v>
      </c>
      <c r="I353" s="38" t="s">
        <v>360</v>
      </c>
      <c r="J353" s="53">
        <v>0</v>
      </c>
      <c r="K353" s="51">
        <f>J353*H353</f>
        <v>0</v>
      </c>
      <c r="L353" s="43"/>
      <c r="M353" s="150"/>
    </row>
    <row r="354" spans="1:13" s="13" customFormat="1" x14ac:dyDescent="0.2">
      <c r="A354" s="36" t="str">
        <f>IF(F354&lt;&gt;"",1+MAX($A$1:A353),"")</f>
        <v/>
      </c>
      <c r="B354" s="44"/>
      <c r="C354" s="44"/>
      <c r="D354" s="85"/>
      <c r="E354" s="88" t="s">
        <v>404</v>
      </c>
      <c r="F354" s="47"/>
      <c r="G354" s="87"/>
      <c r="H354" s="49"/>
      <c r="I354" s="38"/>
      <c r="J354" s="53"/>
      <c r="K354" s="51"/>
      <c r="L354" s="43"/>
      <c r="M354" s="150"/>
    </row>
    <row r="355" spans="1:13" s="13" customFormat="1" x14ac:dyDescent="0.2">
      <c r="A355" s="36">
        <f>IF(F355&lt;&gt;"",1+MAX($A$1:A354),"")</f>
        <v>231</v>
      </c>
      <c r="B355" s="44" t="s">
        <v>82</v>
      </c>
      <c r="C355" s="38"/>
      <c r="D355" s="45"/>
      <c r="E355" s="24" t="s">
        <v>403</v>
      </c>
      <c r="F355" s="47">
        <f>(9496*0.05)</f>
        <v>474.8</v>
      </c>
      <c r="G355" s="48">
        <v>0.1</v>
      </c>
      <c r="H355" s="49">
        <f>F355*(1+G355)</f>
        <v>522.28000000000009</v>
      </c>
      <c r="I355" s="38" t="s">
        <v>271</v>
      </c>
      <c r="J355" s="53">
        <f t="shared" ref="J355" si="111">J$336</f>
        <v>0</v>
      </c>
      <c r="K355" s="51">
        <f>J355*H355</f>
        <v>0</v>
      </c>
      <c r="L355" s="43"/>
      <c r="M355" s="150"/>
    </row>
    <row r="356" spans="1:13" s="13" customFormat="1" x14ac:dyDescent="0.2">
      <c r="A356" s="36">
        <f>IF(F356&lt;&gt;"",1+MAX($A$1:A355),"")</f>
        <v>232</v>
      </c>
      <c r="B356" s="44" t="s">
        <v>82</v>
      </c>
      <c r="C356" s="38"/>
      <c r="D356" s="45"/>
      <c r="E356" s="24" t="s">
        <v>405</v>
      </c>
      <c r="F356" s="47">
        <v>1</v>
      </c>
      <c r="G356" s="48">
        <v>0</v>
      </c>
      <c r="H356" s="49">
        <f>F356*(1+G356)</f>
        <v>1</v>
      </c>
      <c r="I356" s="38" t="s">
        <v>45</v>
      </c>
      <c r="J356" s="53">
        <v>0</v>
      </c>
      <c r="K356" s="51">
        <f>J356*H356</f>
        <v>0</v>
      </c>
      <c r="L356" s="43"/>
      <c r="M356" s="150"/>
    </row>
    <row r="357" spans="1:13" s="13" customFormat="1" x14ac:dyDescent="0.2">
      <c r="A357" s="36" t="str">
        <f>IF(F357&lt;&gt;"",1+MAX($A$1:A356),"")</f>
        <v/>
      </c>
      <c r="B357" s="38"/>
      <c r="C357" s="38"/>
      <c r="D357" s="44"/>
      <c r="E357" s="97"/>
      <c r="F357" s="41"/>
      <c r="G357" s="54"/>
      <c r="H357" s="41"/>
      <c r="I357" s="37"/>
      <c r="J357" s="51"/>
      <c r="K357" s="51"/>
      <c r="L357" s="51"/>
      <c r="M357" s="150"/>
    </row>
    <row r="358" spans="1:13" s="13" customFormat="1" x14ac:dyDescent="0.2">
      <c r="A358" s="36" t="str">
        <f>IF(F358&lt;&gt;"",1+MAX($A$1:A357),"")</f>
        <v/>
      </c>
      <c r="B358" s="38"/>
      <c r="C358" s="38"/>
      <c r="D358" s="44"/>
      <c r="E358" s="55" t="s">
        <v>383</v>
      </c>
      <c r="F358" s="52"/>
      <c r="G358" s="54"/>
      <c r="H358" s="41"/>
      <c r="I358" s="37"/>
      <c r="J358" s="51"/>
      <c r="K358" s="56"/>
      <c r="L358" s="56">
        <f>SUM(K334:K357)</f>
        <v>0</v>
      </c>
      <c r="M358" s="150"/>
    </row>
    <row r="359" spans="1:13" s="13" customFormat="1" x14ac:dyDescent="0.2">
      <c r="A359" s="36" t="str">
        <f>IF(F359&lt;&gt;"",1+MAX($A$1:A358),"")</f>
        <v/>
      </c>
      <c r="B359" s="38"/>
      <c r="C359" s="38"/>
      <c r="D359" s="44"/>
      <c r="E359" s="55"/>
      <c r="F359" s="47"/>
      <c r="G359" s="87"/>
      <c r="H359" s="49"/>
      <c r="I359" s="38"/>
      <c r="J359" s="53"/>
      <c r="K359" s="51"/>
      <c r="L359" s="43"/>
      <c r="M359" s="150"/>
    </row>
    <row r="360" spans="1:13" s="13" customFormat="1" x14ac:dyDescent="0.2">
      <c r="A360" s="36" t="str">
        <f>IF(F360&lt;&gt;"",1+MAX($A$1:A359),"")</f>
        <v/>
      </c>
      <c r="B360" s="37"/>
      <c r="C360" s="38"/>
      <c r="D360" s="39"/>
      <c r="E360" s="39" t="s">
        <v>355</v>
      </c>
      <c r="F360" s="40"/>
      <c r="G360" s="40"/>
      <c r="H360" s="41"/>
      <c r="I360" s="37"/>
      <c r="J360" s="42"/>
      <c r="K360" s="43"/>
      <c r="L360" s="43"/>
      <c r="M360" s="150"/>
    </row>
    <row r="361" spans="1:13" s="13" customFormat="1" ht="78.75" x14ac:dyDescent="0.2">
      <c r="A361" s="36">
        <f>IF(F361&lt;&gt;"",1+MAX($A$1:A360),"")</f>
        <v>233</v>
      </c>
      <c r="B361" s="44" t="s">
        <v>82</v>
      </c>
      <c r="C361" s="38" t="s">
        <v>356</v>
      </c>
      <c r="D361" s="45"/>
      <c r="E361" s="24" t="s">
        <v>420</v>
      </c>
      <c r="F361" s="47">
        <v>1</v>
      </c>
      <c r="G361" s="48">
        <v>0</v>
      </c>
      <c r="H361" s="49">
        <f>F361*(1+G361)</f>
        <v>1</v>
      </c>
      <c r="I361" s="38" t="s">
        <v>45</v>
      </c>
      <c r="J361" s="53">
        <v>0</v>
      </c>
      <c r="K361" s="51">
        <f>J361*H361</f>
        <v>0</v>
      </c>
      <c r="L361" s="43"/>
      <c r="M361" s="150"/>
    </row>
    <row r="362" spans="1:13" s="13" customFormat="1" x14ac:dyDescent="0.2">
      <c r="A362" s="36" t="str">
        <f>IF(F362&lt;&gt;"",1+MAX($A$1:A361),"")</f>
        <v/>
      </c>
      <c r="B362" s="38"/>
      <c r="C362" s="38"/>
      <c r="D362" s="44"/>
      <c r="E362" s="97"/>
      <c r="F362" s="41"/>
      <c r="G362" s="54"/>
      <c r="H362" s="41"/>
      <c r="I362" s="37"/>
      <c r="J362" s="51"/>
      <c r="K362" s="51"/>
      <c r="L362" s="51"/>
      <c r="M362" s="150"/>
    </row>
    <row r="363" spans="1:13" s="13" customFormat="1" x14ac:dyDescent="0.2">
      <c r="A363" s="36" t="str">
        <f>IF(F363&lt;&gt;"",1+MAX($A$1:A362),"")</f>
        <v/>
      </c>
      <c r="B363" s="38"/>
      <c r="C363" s="38"/>
      <c r="D363" s="44"/>
      <c r="E363" s="55" t="s">
        <v>357</v>
      </c>
      <c r="F363" s="52"/>
      <c r="G363" s="54"/>
      <c r="H363" s="41"/>
      <c r="I363" s="37"/>
      <c r="J363" s="51"/>
      <c r="K363" s="56"/>
      <c r="L363" s="56">
        <f>SUM(K360:K362)</f>
        <v>0</v>
      </c>
      <c r="M363" s="150"/>
    </row>
    <row r="364" spans="1:13" s="13" customFormat="1" x14ac:dyDescent="0.2">
      <c r="A364" s="36" t="str">
        <f>IF(F364&lt;&gt;"",1+MAX($A$1:A363),"")</f>
        <v/>
      </c>
      <c r="B364" s="38"/>
      <c r="C364" s="38"/>
      <c r="D364" s="44"/>
      <c r="E364" s="55"/>
      <c r="F364" s="47"/>
      <c r="G364" s="87"/>
      <c r="H364" s="49"/>
      <c r="I364" s="38"/>
      <c r="J364" s="53"/>
      <c r="K364" s="51"/>
      <c r="L364" s="43"/>
      <c r="M364" s="150"/>
    </row>
    <row r="365" spans="1:13" s="13" customFormat="1" x14ac:dyDescent="0.2">
      <c r="A365" s="36" t="str">
        <f>IF(F365&lt;&gt;"",1+MAX($A$1:A364),"")</f>
        <v/>
      </c>
      <c r="B365" s="37"/>
      <c r="C365" s="38"/>
      <c r="D365" s="39"/>
      <c r="E365" s="39" t="s">
        <v>364</v>
      </c>
      <c r="F365" s="40"/>
      <c r="G365" s="40"/>
      <c r="H365" s="41"/>
      <c r="I365" s="37"/>
      <c r="J365" s="42"/>
      <c r="K365" s="43"/>
      <c r="L365" s="43"/>
      <c r="M365" s="150"/>
    </row>
    <row r="366" spans="1:13" s="13" customFormat="1" ht="110.25" x14ac:dyDescent="0.2">
      <c r="A366" s="36">
        <f>IF(F366&lt;&gt;"",1+MAX($A$1:A365),"")</f>
        <v>234</v>
      </c>
      <c r="B366" s="44" t="s">
        <v>82</v>
      </c>
      <c r="C366" s="38" t="s">
        <v>356</v>
      </c>
      <c r="D366" s="45"/>
      <c r="E366" s="55" t="s">
        <v>421</v>
      </c>
      <c r="F366" s="47">
        <f>5.58*12</f>
        <v>66.960000000000008</v>
      </c>
      <c r="G366" s="48">
        <v>0.1</v>
      </c>
      <c r="H366" s="49">
        <f>F366*(1+G366)</f>
        <v>73.65600000000002</v>
      </c>
      <c r="I366" s="38" t="s">
        <v>16</v>
      </c>
      <c r="J366" s="53">
        <v>0</v>
      </c>
      <c r="K366" s="51">
        <f>J366*H366</f>
        <v>0</v>
      </c>
      <c r="L366" s="43"/>
      <c r="M366" s="150"/>
    </row>
    <row r="367" spans="1:13" s="13" customFormat="1" x14ac:dyDescent="0.2">
      <c r="A367" s="36" t="str">
        <f>IF(F367&lt;&gt;"",1+MAX($A$1:A366),"")</f>
        <v/>
      </c>
      <c r="B367" s="38"/>
      <c r="C367" s="38"/>
      <c r="D367" s="44"/>
      <c r="E367" s="97"/>
      <c r="F367" s="41"/>
      <c r="G367" s="54"/>
      <c r="H367" s="41"/>
      <c r="I367" s="37"/>
      <c r="J367" s="51"/>
      <c r="K367" s="51"/>
      <c r="L367" s="51"/>
      <c r="M367" s="150"/>
    </row>
    <row r="368" spans="1:13" s="13" customFormat="1" x14ac:dyDescent="0.2">
      <c r="A368" s="36" t="str">
        <f>IF(F368&lt;&gt;"",1+MAX($A$1:A367),"")</f>
        <v/>
      </c>
      <c r="B368" s="38"/>
      <c r="C368" s="38"/>
      <c r="D368" s="44"/>
      <c r="E368" s="55" t="s">
        <v>365</v>
      </c>
      <c r="F368" s="52"/>
      <c r="G368" s="54"/>
      <c r="H368" s="41"/>
      <c r="I368" s="37"/>
      <c r="J368" s="51"/>
      <c r="K368" s="56"/>
      <c r="L368" s="56">
        <f>SUM(K365:K367)</f>
        <v>0</v>
      </c>
      <c r="M368" s="150"/>
    </row>
    <row r="369" spans="1:13" s="13" customFormat="1" x14ac:dyDescent="0.2">
      <c r="A369" s="36" t="str">
        <f>IF(F369&lt;&gt;"",1+MAX($A$1:A368),"")</f>
        <v/>
      </c>
      <c r="B369" s="38"/>
      <c r="C369" s="38"/>
      <c r="D369" s="44"/>
      <c r="E369" s="55"/>
      <c r="F369" s="47"/>
      <c r="G369" s="87"/>
      <c r="H369" s="49"/>
      <c r="I369" s="38"/>
      <c r="J369" s="53"/>
      <c r="K369" s="51"/>
      <c r="L369" s="43"/>
      <c r="M369" s="150"/>
    </row>
    <row r="370" spans="1:13" s="13" customFormat="1" x14ac:dyDescent="0.2">
      <c r="A370" s="36" t="str">
        <f>IF(F370&lt;&gt;"",1+MAX($A$1:A369),"")</f>
        <v/>
      </c>
      <c r="B370" s="37"/>
      <c r="C370" s="38"/>
      <c r="D370" s="39"/>
      <c r="E370" s="39" t="s">
        <v>411</v>
      </c>
      <c r="F370" s="40"/>
      <c r="G370" s="40"/>
      <c r="H370" s="41"/>
      <c r="I370" s="37"/>
      <c r="J370" s="42"/>
      <c r="K370" s="43"/>
      <c r="L370" s="43"/>
      <c r="M370" s="150"/>
    </row>
    <row r="371" spans="1:13" s="13" customFormat="1" ht="31.5" x14ac:dyDescent="0.2">
      <c r="A371" s="36">
        <f>IF(F371&lt;&gt;"",1+MAX($A$1:A370),"")</f>
        <v>235</v>
      </c>
      <c r="B371" s="44" t="s">
        <v>82</v>
      </c>
      <c r="C371" s="38" t="s">
        <v>356</v>
      </c>
      <c r="D371" s="45"/>
      <c r="E371" s="24" t="s">
        <v>412</v>
      </c>
      <c r="F371" s="47">
        <f>(4.5+2.5+1.5)*8</f>
        <v>68</v>
      </c>
      <c r="G371" s="48">
        <v>0.1</v>
      </c>
      <c r="H371" s="49">
        <f>F371*(1+G371)</f>
        <v>74.800000000000011</v>
      </c>
      <c r="I371" s="38" t="s">
        <v>13</v>
      </c>
      <c r="J371" s="53">
        <v>0</v>
      </c>
      <c r="K371" s="51">
        <f>J371*H371</f>
        <v>0</v>
      </c>
      <c r="L371" s="43"/>
      <c r="M371" s="150"/>
    </row>
    <row r="372" spans="1:13" s="13" customFormat="1" ht="31.5" x14ac:dyDescent="0.2">
      <c r="A372" s="36">
        <f>IF(F372&lt;&gt;"",1+MAX($A$1:A371),"")</f>
        <v>236</v>
      </c>
      <c r="B372" s="44" t="s">
        <v>82</v>
      </c>
      <c r="C372" s="38" t="s">
        <v>356</v>
      </c>
      <c r="D372" s="45"/>
      <c r="E372" s="24" t="s">
        <v>413</v>
      </c>
      <c r="F372" s="47">
        <f>(2.5+2.5)*8</f>
        <v>40</v>
      </c>
      <c r="G372" s="48">
        <v>0.1</v>
      </c>
      <c r="H372" s="49">
        <f>F372*(1+G372)</f>
        <v>44</v>
      </c>
      <c r="I372" s="38" t="s">
        <v>13</v>
      </c>
      <c r="J372" s="53">
        <v>0</v>
      </c>
      <c r="K372" s="51">
        <f>J372*H372</f>
        <v>0</v>
      </c>
      <c r="L372" s="43"/>
      <c r="M372" s="150"/>
    </row>
    <row r="373" spans="1:13" s="13" customFormat="1" ht="31.5" x14ac:dyDescent="0.2">
      <c r="A373" s="36">
        <f>IF(F373&lt;&gt;"",1+MAX($A$1:A372),"")</f>
        <v>237</v>
      </c>
      <c r="B373" s="44" t="s">
        <v>82</v>
      </c>
      <c r="C373" s="38" t="s">
        <v>356</v>
      </c>
      <c r="D373" s="45"/>
      <c r="E373" s="24" t="s">
        <v>414</v>
      </c>
      <c r="F373" s="47">
        <f>2*8</f>
        <v>16</v>
      </c>
      <c r="G373" s="48">
        <v>0.1</v>
      </c>
      <c r="H373" s="49">
        <f>F373*(1+G373)</f>
        <v>17.600000000000001</v>
      </c>
      <c r="I373" s="38" t="s">
        <v>13</v>
      </c>
      <c r="J373" s="53">
        <v>0</v>
      </c>
      <c r="K373" s="51">
        <f>J373*H373</f>
        <v>0</v>
      </c>
      <c r="L373" s="43"/>
      <c r="M373" s="150"/>
    </row>
    <row r="374" spans="1:13" s="13" customFormat="1" x14ac:dyDescent="0.2">
      <c r="A374" s="36" t="str">
        <f>IF(F374&lt;&gt;"",1+MAX($A$1:A373),"")</f>
        <v/>
      </c>
      <c r="B374" s="38"/>
      <c r="C374" s="38"/>
      <c r="D374" s="44"/>
      <c r="E374" s="97"/>
      <c r="F374" s="41"/>
      <c r="G374" s="54"/>
      <c r="H374" s="41"/>
      <c r="I374" s="37"/>
      <c r="J374" s="51"/>
      <c r="K374" s="51"/>
      <c r="L374" s="51"/>
      <c r="M374" s="150"/>
    </row>
    <row r="375" spans="1:13" s="13" customFormat="1" x14ac:dyDescent="0.2">
      <c r="A375" s="36" t="str">
        <f>IF(F375&lt;&gt;"",1+MAX($A$1:A374),"")</f>
        <v/>
      </c>
      <c r="B375" s="38"/>
      <c r="C375" s="38"/>
      <c r="D375" s="44"/>
      <c r="E375" s="55" t="s">
        <v>410</v>
      </c>
      <c r="F375" s="52"/>
      <c r="G375" s="54"/>
      <c r="H375" s="41"/>
      <c r="I375" s="37"/>
      <c r="J375" s="51"/>
      <c r="K375" s="56"/>
      <c r="L375" s="56">
        <f>SUM(K370:K374)</f>
        <v>0</v>
      </c>
      <c r="M375" s="150"/>
    </row>
    <row r="376" spans="1:13" s="13" customFormat="1" x14ac:dyDescent="0.2">
      <c r="A376" s="36" t="str">
        <f>IF(F376&lt;&gt;"",1+MAX($A$1:A375),"")</f>
        <v/>
      </c>
      <c r="B376" s="38"/>
      <c r="C376" s="38"/>
      <c r="D376" s="44"/>
      <c r="E376" s="55"/>
      <c r="F376" s="47"/>
      <c r="G376" s="87"/>
      <c r="H376" s="49"/>
      <c r="I376" s="38"/>
      <c r="J376" s="53"/>
      <c r="K376" s="51"/>
      <c r="L376" s="43"/>
      <c r="M376" s="150"/>
    </row>
    <row r="377" spans="1:13" x14ac:dyDescent="0.2">
      <c r="A377" s="36" t="str">
        <f>IF(F377&lt;&gt;"",1+MAX($A$1:A376),"")</f>
        <v/>
      </c>
      <c r="B377" s="58"/>
      <c r="C377" s="59"/>
      <c r="D377" s="96" t="s">
        <v>51</v>
      </c>
      <c r="E377" s="60" t="s">
        <v>56</v>
      </c>
      <c r="F377" s="40"/>
      <c r="G377" s="40"/>
      <c r="H377" s="40"/>
      <c r="I377" s="40"/>
      <c r="J377" s="40"/>
      <c r="K377" s="40"/>
      <c r="L377" s="40"/>
      <c r="M377" s="153"/>
    </row>
    <row r="378" spans="1:13" s="13" customFormat="1" x14ac:dyDescent="0.2">
      <c r="A378" s="36" t="str">
        <f>IF(F378&lt;&gt;"",1+MAX($A$1:A377),"")</f>
        <v/>
      </c>
      <c r="B378" s="37"/>
      <c r="C378" s="38"/>
      <c r="D378" s="39"/>
      <c r="E378" s="39" t="s">
        <v>52</v>
      </c>
      <c r="F378" s="40"/>
      <c r="G378" s="40"/>
      <c r="H378" s="41"/>
      <c r="I378" s="37"/>
      <c r="J378" s="42"/>
      <c r="K378" s="43"/>
      <c r="L378" s="43"/>
      <c r="M378" s="150"/>
    </row>
    <row r="379" spans="1:13" s="13" customFormat="1" ht="31.5" x14ac:dyDescent="0.2">
      <c r="A379" s="36">
        <f>IF(F379&lt;&gt;"",1+MAX($A$1:A378),"")</f>
        <v>238</v>
      </c>
      <c r="B379" s="44" t="s">
        <v>82</v>
      </c>
      <c r="C379" s="38"/>
      <c r="D379" s="45"/>
      <c r="E379" s="24" t="s">
        <v>422</v>
      </c>
      <c r="F379" s="47">
        <v>1</v>
      </c>
      <c r="G379" s="48">
        <v>0</v>
      </c>
      <c r="H379" s="49">
        <f>F379*(1+G379)</f>
        <v>1</v>
      </c>
      <c r="I379" s="38" t="s">
        <v>45</v>
      </c>
      <c r="J379" s="53">
        <v>0</v>
      </c>
      <c r="K379" s="51">
        <f>J379*H379</f>
        <v>0</v>
      </c>
      <c r="L379" s="43"/>
      <c r="M379" s="150"/>
    </row>
    <row r="380" spans="1:13" s="13" customFormat="1" x14ac:dyDescent="0.2">
      <c r="A380" s="36" t="str">
        <f>IF(F380&lt;&gt;"",1+MAX($A$1:A379),"")</f>
        <v/>
      </c>
      <c r="B380" s="38"/>
      <c r="C380" s="38"/>
      <c r="D380" s="44"/>
      <c r="E380" s="97"/>
      <c r="F380" s="41"/>
      <c r="G380" s="54"/>
      <c r="H380" s="41"/>
      <c r="I380" s="37"/>
      <c r="J380" s="51"/>
      <c r="K380" s="51"/>
      <c r="L380" s="51"/>
      <c r="M380" s="150"/>
    </row>
    <row r="381" spans="1:13" s="13" customFormat="1" x14ac:dyDescent="0.2">
      <c r="A381" s="36" t="str">
        <f>IF(F381&lt;&gt;"",1+MAX($A$1:A380),"")</f>
        <v/>
      </c>
      <c r="B381" s="38"/>
      <c r="C381" s="38"/>
      <c r="D381" s="44"/>
      <c r="E381" s="55" t="s">
        <v>53</v>
      </c>
      <c r="F381" s="52"/>
      <c r="G381" s="54"/>
      <c r="H381" s="41"/>
      <c r="I381" s="37"/>
      <c r="J381" s="51"/>
      <c r="K381" s="56"/>
      <c r="L381" s="56">
        <f>SUM(K378:K380)</f>
        <v>0</v>
      </c>
      <c r="M381" s="150"/>
    </row>
    <row r="382" spans="1:13" s="13" customFormat="1" x14ac:dyDescent="0.2">
      <c r="A382" s="36" t="str">
        <f>IF(F382&lt;&gt;"",1+MAX($A$1:A381),"")</f>
        <v/>
      </c>
      <c r="B382" s="38"/>
      <c r="C382" s="38"/>
      <c r="D382" s="44"/>
      <c r="E382" s="55"/>
      <c r="F382" s="47"/>
      <c r="G382" s="87"/>
      <c r="H382" s="49"/>
      <c r="I382" s="38"/>
      <c r="J382" s="53"/>
      <c r="K382" s="51"/>
      <c r="L382" s="43"/>
      <c r="M382" s="150"/>
    </row>
    <row r="383" spans="1:13" s="13" customFormat="1" x14ac:dyDescent="0.2">
      <c r="A383" s="36" t="str">
        <f>IF(F383&lt;&gt;"",1+MAX($A$1:A382),"")</f>
        <v/>
      </c>
      <c r="B383" s="37"/>
      <c r="C383" s="38"/>
      <c r="D383" s="39"/>
      <c r="E383" s="39" t="s">
        <v>157</v>
      </c>
      <c r="F383" s="40"/>
      <c r="G383" s="40"/>
      <c r="H383" s="41"/>
      <c r="I383" s="37"/>
      <c r="J383" s="42"/>
      <c r="K383" s="43"/>
      <c r="L383" s="43"/>
      <c r="M383" s="150"/>
    </row>
    <row r="384" spans="1:13" s="13" customFormat="1" ht="31.5" x14ac:dyDescent="0.2">
      <c r="A384" s="36">
        <f>IF(F384&lt;&gt;"",1+MAX($A$1:A383),"")</f>
        <v>239</v>
      </c>
      <c r="B384" s="44" t="s">
        <v>82</v>
      </c>
      <c r="C384" s="38"/>
      <c r="D384" s="45"/>
      <c r="E384" s="24" t="s">
        <v>423</v>
      </c>
      <c r="F384" s="47">
        <v>1</v>
      </c>
      <c r="G384" s="48">
        <v>0</v>
      </c>
      <c r="H384" s="49">
        <f>F384*(1+G384)</f>
        <v>1</v>
      </c>
      <c r="I384" s="38" t="s">
        <v>45</v>
      </c>
      <c r="J384" s="53">
        <v>0</v>
      </c>
      <c r="K384" s="51">
        <f>J384*H384</f>
        <v>0</v>
      </c>
      <c r="L384" s="43"/>
      <c r="M384" s="150"/>
    </row>
    <row r="385" spans="1:13" s="13" customFormat="1" x14ac:dyDescent="0.2">
      <c r="A385" s="36" t="str">
        <f>IF(F385&lt;&gt;"",1+MAX($A$1:A384),"")</f>
        <v/>
      </c>
      <c r="B385" s="38"/>
      <c r="C385" s="38"/>
      <c r="D385" s="44"/>
      <c r="E385" s="97"/>
      <c r="F385" s="41"/>
      <c r="G385" s="54"/>
      <c r="H385" s="41"/>
      <c r="I385" s="37"/>
      <c r="J385" s="51"/>
      <c r="K385" s="51"/>
      <c r="L385" s="51"/>
      <c r="M385" s="150"/>
    </row>
    <row r="386" spans="1:13" s="13" customFormat="1" x14ac:dyDescent="0.2">
      <c r="A386" s="36" t="str">
        <f>IF(F386&lt;&gt;"",1+MAX($A$1:A385),"")</f>
        <v/>
      </c>
      <c r="B386" s="38"/>
      <c r="C386" s="38"/>
      <c r="D386" s="44"/>
      <c r="E386" s="55" t="s">
        <v>256</v>
      </c>
      <c r="F386" s="52"/>
      <c r="G386" s="54"/>
      <c r="H386" s="41"/>
      <c r="I386" s="37"/>
      <c r="J386" s="51"/>
      <c r="K386" s="56"/>
      <c r="L386" s="56">
        <f>SUM(K383:K385)</f>
        <v>0</v>
      </c>
      <c r="M386" s="150"/>
    </row>
    <row r="387" spans="1:13" s="13" customFormat="1" x14ac:dyDescent="0.2">
      <c r="A387" s="36" t="str">
        <f>IF(F387&lt;&gt;"",1+MAX($A$1:A386),"")</f>
        <v/>
      </c>
      <c r="B387" s="38"/>
      <c r="C387" s="38"/>
      <c r="D387" s="44"/>
      <c r="E387" s="55"/>
      <c r="F387" s="47"/>
      <c r="G387" s="87"/>
      <c r="H387" s="49"/>
      <c r="I387" s="38"/>
      <c r="J387" s="53"/>
      <c r="K387" s="51"/>
      <c r="L387" s="43"/>
      <c r="M387" s="150"/>
    </row>
    <row r="388" spans="1:13" s="13" customFormat="1" x14ac:dyDescent="0.2">
      <c r="A388" s="36" t="str">
        <f>IF(F388&lt;&gt;"",1+MAX($A$1:A387),"")</f>
        <v/>
      </c>
      <c r="B388" s="37"/>
      <c r="C388" s="38"/>
      <c r="D388" s="39"/>
      <c r="E388" s="39" t="s">
        <v>244</v>
      </c>
      <c r="F388" s="40"/>
      <c r="G388" s="40"/>
      <c r="H388" s="41"/>
      <c r="I388" s="37"/>
      <c r="J388" s="42"/>
      <c r="K388" s="43"/>
      <c r="L388" s="43"/>
      <c r="M388" s="150"/>
    </row>
    <row r="389" spans="1:13" s="13" customFormat="1" ht="47.25" x14ac:dyDescent="0.2">
      <c r="A389" s="36">
        <f>IF(F389&lt;&gt;"",1+MAX($A$1:A388),"")</f>
        <v>240</v>
      </c>
      <c r="B389" s="44" t="s">
        <v>152</v>
      </c>
      <c r="C389" s="38" t="s">
        <v>151</v>
      </c>
      <c r="D389" s="45"/>
      <c r="E389" s="24" t="s">
        <v>424</v>
      </c>
      <c r="F389" s="47">
        <f>63.5</f>
        <v>63.5</v>
      </c>
      <c r="G389" s="48">
        <v>0.1</v>
      </c>
      <c r="H389" s="49">
        <f>F389*(1+G389)</f>
        <v>69.850000000000009</v>
      </c>
      <c r="I389" s="38" t="s">
        <v>13</v>
      </c>
      <c r="J389" s="53">
        <v>0</v>
      </c>
      <c r="K389" s="51">
        <f>J389*H389</f>
        <v>0</v>
      </c>
      <c r="L389" s="43"/>
      <c r="M389" s="150"/>
    </row>
    <row r="390" spans="1:13" s="13" customFormat="1" ht="31.5" x14ac:dyDescent="0.2">
      <c r="A390" s="36">
        <f>IF(F390&lt;&gt;"",1+MAX($A$1:A389),"")</f>
        <v>241</v>
      </c>
      <c r="B390" s="44" t="s">
        <v>152</v>
      </c>
      <c r="C390" s="38" t="s">
        <v>151</v>
      </c>
      <c r="D390" s="45"/>
      <c r="E390" s="24" t="s">
        <v>425</v>
      </c>
      <c r="F390" s="47">
        <v>80.2</v>
      </c>
      <c r="G390" s="48">
        <v>0.1</v>
      </c>
      <c r="H390" s="49">
        <f>F390*(1+G390)</f>
        <v>88.220000000000013</v>
      </c>
      <c r="I390" s="38" t="s">
        <v>13</v>
      </c>
      <c r="J390" s="53">
        <v>0</v>
      </c>
      <c r="K390" s="51">
        <f>J390*H390</f>
        <v>0</v>
      </c>
      <c r="L390" s="43"/>
      <c r="M390" s="150"/>
    </row>
    <row r="391" spans="1:13" s="13" customFormat="1" x14ac:dyDescent="0.2">
      <c r="A391" s="36" t="str">
        <f>IF(F391&lt;&gt;"",1+MAX($A$1:A390),"")</f>
        <v/>
      </c>
      <c r="B391" s="38"/>
      <c r="C391" s="38"/>
      <c r="D391" s="44"/>
      <c r="E391" s="40"/>
      <c r="F391" s="41"/>
      <c r="G391" s="54"/>
      <c r="H391" s="41"/>
      <c r="I391" s="37"/>
      <c r="J391" s="51"/>
      <c r="K391" s="51"/>
      <c r="L391" s="51"/>
      <c r="M391" s="150"/>
    </row>
    <row r="392" spans="1:13" s="13" customFormat="1" x14ac:dyDescent="0.2">
      <c r="A392" s="36" t="str">
        <f>IF(F392&lt;&gt;"",1+MAX($A$1:A391),"")</f>
        <v/>
      </c>
      <c r="B392" s="38"/>
      <c r="C392" s="38"/>
      <c r="D392" s="44"/>
      <c r="E392" s="55" t="s">
        <v>245</v>
      </c>
      <c r="F392" s="52"/>
      <c r="G392" s="54"/>
      <c r="H392" s="41"/>
      <c r="I392" s="37"/>
      <c r="J392" s="51"/>
      <c r="K392" s="56"/>
      <c r="L392" s="56">
        <f>SUM(K388:K391)</f>
        <v>0</v>
      </c>
      <c r="M392" s="150"/>
    </row>
    <row r="393" spans="1:13" s="13" customFormat="1" x14ac:dyDescent="0.2">
      <c r="A393" s="36" t="str">
        <f>IF(F393&lt;&gt;"",1+MAX($A$1:A392),"")</f>
        <v/>
      </c>
      <c r="B393" s="38"/>
      <c r="C393" s="38"/>
      <c r="D393" s="44"/>
      <c r="E393" s="55"/>
      <c r="F393" s="47"/>
      <c r="G393" s="87"/>
      <c r="H393" s="49"/>
      <c r="I393" s="38"/>
      <c r="J393" s="53"/>
      <c r="K393" s="51"/>
      <c r="L393" s="43"/>
      <c r="M393" s="150"/>
    </row>
    <row r="394" spans="1:13" s="13" customFormat="1" x14ac:dyDescent="0.2">
      <c r="A394" s="36" t="str">
        <f>IF(F394&lt;&gt;"",1+MAX($A$1:A393),"")</f>
        <v/>
      </c>
      <c r="B394" s="37"/>
      <c r="C394" s="38"/>
      <c r="D394" s="39"/>
      <c r="E394" s="39" t="s">
        <v>246</v>
      </c>
      <c r="F394" s="40"/>
      <c r="G394" s="40"/>
      <c r="H394" s="41"/>
      <c r="I394" s="37"/>
      <c r="J394" s="42"/>
      <c r="K394" s="43"/>
      <c r="L394" s="43"/>
      <c r="M394" s="150"/>
    </row>
    <row r="395" spans="1:13" s="15" customFormat="1" ht="18.75" x14ac:dyDescent="0.2">
      <c r="A395" s="36">
        <f>IF(F395&lt;&gt;"",1+MAX($A$1:A394),"")</f>
        <v>242</v>
      </c>
      <c r="B395" s="44" t="s">
        <v>159</v>
      </c>
      <c r="C395" s="64"/>
      <c r="D395" s="75"/>
      <c r="E395" s="46" t="s">
        <v>241</v>
      </c>
      <c r="F395" s="52">
        <f>27.1</f>
        <v>27.1</v>
      </c>
      <c r="G395" s="48">
        <v>0.1</v>
      </c>
      <c r="H395" s="41">
        <f t="shared" ref="H395" si="112">F395*(1+G395)</f>
        <v>29.810000000000002</v>
      </c>
      <c r="I395" s="37" t="s">
        <v>13</v>
      </c>
      <c r="J395" s="53">
        <v>0</v>
      </c>
      <c r="K395" s="42">
        <f t="shared" ref="K395" si="113">J395*H395</f>
        <v>0</v>
      </c>
      <c r="L395" s="134"/>
      <c r="M395" s="154"/>
    </row>
    <row r="396" spans="1:13" s="13" customFormat="1" x14ac:dyDescent="0.2">
      <c r="A396" s="36" t="str">
        <f>IF(F396&lt;&gt;"",1+MAX($A$1:A395),"")</f>
        <v/>
      </c>
      <c r="B396" s="38"/>
      <c r="C396" s="38"/>
      <c r="D396" s="44"/>
      <c r="E396" s="40"/>
      <c r="F396" s="41"/>
      <c r="G396" s="54"/>
      <c r="H396" s="41"/>
      <c r="I396" s="37"/>
      <c r="J396" s="51"/>
      <c r="K396" s="51"/>
      <c r="L396" s="51"/>
      <c r="M396" s="150"/>
    </row>
    <row r="397" spans="1:13" s="13" customFormat="1" x14ac:dyDescent="0.2">
      <c r="A397" s="36" t="str">
        <f>IF(F397&lt;&gt;"",1+MAX($A$1:A396),"")</f>
        <v/>
      </c>
      <c r="B397" s="38"/>
      <c r="C397" s="38"/>
      <c r="D397" s="44"/>
      <c r="E397" s="55" t="s">
        <v>247</v>
      </c>
      <c r="F397" s="52"/>
      <c r="G397" s="54"/>
      <c r="H397" s="41"/>
      <c r="I397" s="37"/>
      <c r="J397" s="51"/>
      <c r="K397" s="56"/>
      <c r="L397" s="56">
        <f>SUM(K394:K396)</f>
        <v>0</v>
      </c>
      <c r="M397" s="150"/>
    </row>
    <row r="398" spans="1:13" s="13" customFormat="1" x14ac:dyDescent="0.2">
      <c r="A398" s="36" t="str">
        <f>IF(F398&lt;&gt;"",1+MAX($A$1:A397),"")</f>
        <v/>
      </c>
      <c r="B398" s="38"/>
      <c r="C398" s="38"/>
      <c r="D398" s="44"/>
      <c r="E398" s="55"/>
      <c r="F398" s="47"/>
      <c r="G398" s="87"/>
      <c r="H398" s="49"/>
      <c r="I398" s="38"/>
      <c r="J398" s="53"/>
      <c r="K398" s="51"/>
      <c r="L398" s="43"/>
      <c r="M398" s="150"/>
    </row>
    <row r="399" spans="1:13" s="13" customFormat="1" x14ac:dyDescent="0.2">
      <c r="A399" s="36" t="str">
        <f>IF(F399&lt;&gt;"",1+MAX($A$1:A398),"")</f>
        <v/>
      </c>
      <c r="B399" s="37"/>
      <c r="C399" s="38"/>
      <c r="D399" s="39"/>
      <c r="E399" s="39" t="s">
        <v>54</v>
      </c>
      <c r="F399" s="40"/>
      <c r="G399" s="40"/>
      <c r="H399" s="41"/>
      <c r="I399" s="37"/>
      <c r="J399" s="42"/>
      <c r="K399" s="43"/>
      <c r="L399" s="43"/>
      <c r="M399" s="150"/>
    </row>
    <row r="400" spans="1:13" s="13" customFormat="1" x14ac:dyDescent="0.2">
      <c r="A400" s="36">
        <f>IF(F400&lt;&gt;"",1+MAX($A$1:A399),"")</f>
        <v>243</v>
      </c>
      <c r="B400" s="44" t="s">
        <v>82</v>
      </c>
      <c r="C400" s="38"/>
      <c r="D400" s="45"/>
      <c r="E400" s="24" t="s">
        <v>409</v>
      </c>
      <c r="F400" s="47">
        <f>867*4</f>
        <v>3468</v>
      </c>
      <c r="G400" s="48">
        <v>0.1</v>
      </c>
      <c r="H400" s="49">
        <f>F400*(1+G400)</f>
        <v>3814.8</v>
      </c>
      <c r="I400" s="38" t="s">
        <v>13</v>
      </c>
      <c r="J400" s="53">
        <v>0</v>
      </c>
      <c r="K400" s="51">
        <f>J400*H400</f>
        <v>0</v>
      </c>
      <c r="L400" s="43"/>
      <c r="M400" s="150"/>
    </row>
    <row r="401" spans="1:13" s="13" customFormat="1" x14ac:dyDescent="0.2">
      <c r="A401" s="36">
        <f>IF(F401&lt;&gt;"",1+MAX($A$1:A400),"")</f>
        <v>244</v>
      </c>
      <c r="B401" s="44" t="s">
        <v>82</v>
      </c>
      <c r="C401" s="38"/>
      <c r="D401" s="45"/>
      <c r="E401" s="24" t="s">
        <v>36</v>
      </c>
      <c r="F401" s="47">
        <v>1850</v>
      </c>
      <c r="G401" s="48">
        <v>0.1</v>
      </c>
      <c r="H401" s="49">
        <f>F401*(1+G401)</f>
        <v>2035.0000000000002</v>
      </c>
      <c r="I401" s="38" t="s">
        <v>13</v>
      </c>
      <c r="J401" s="53">
        <f>J$400</f>
        <v>0</v>
      </c>
      <c r="K401" s="51">
        <f>J401*H401</f>
        <v>0</v>
      </c>
      <c r="L401" s="43"/>
      <c r="M401" s="150"/>
    </row>
    <row r="402" spans="1:13" s="13" customFormat="1" x14ac:dyDescent="0.2">
      <c r="A402" s="36" t="str">
        <f>IF(F402&lt;&gt;"",1+MAX($A$1:A401),"")</f>
        <v/>
      </c>
      <c r="B402" s="38"/>
      <c r="C402" s="38"/>
      <c r="D402" s="44"/>
      <c r="E402" s="40"/>
      <c r="F402" s="41"/>
      <c r="G402" s="54"/>
      <c r="H402" s="41"/>
      <c r="I402" s="37"/>
      <c r="J402" s="51"/>
      <c r="K402" s="51"/>
      <c r="L402" s="51"/>
      <c r="M402" s="150"/>
    </row>
    <row r="403" spans="1:13" s="13" customFormat="1" x14ac:dyDescent="0.2">
      <c r="A403" s="36" t="str">
        <f>IF(F403&lt;&gt;"",1+MAX($A$1:A402),"")</f>
        <v/>
      </c>
      <c r="B403" s="38"/>
      <c r="C403" s="38"/>
      <c r="D403" s="44"/>
      <c r="E403" s="55" t="s">
        <v>55</v>
      </c>
      <c r="F403" s="52"/>
      <c r="G403" s="54"/>
      <c r="H403" s="41"/>
      <c r="I403" s="37"/>
      <c r="J403" s="51"/>
      <c r="K403" s="56"/>
      <c r="L403" s="56">
        <f>SUM(K399:K402)</f>
        <v>0</v>
      </c>
      <c r="M403" s="150"/>
    </row>
    <row r="404" spans="1:13" s="13" customFormat="1" x14ac:dyDescent="0.2">
      <c r="A404" s="36" t="str">
        <f>IF(F404&lt;&gt;"",1+MAX($A$1:A403),"")</f>
        <v/>
      </c>
      <c r="B404" s="38"/>
      <c r="C404" s="38"/>
      <c r="D404" s="44"/>
      <c r="E404" s="55"/>
      <c r="F404" s="47"/>
      <c r="G404" s="87"/>
      <c r="H404" s="49"/>
      <c r="I404" s="38"/>
      <c r="J404" s="53"/>
      <c r="K404" s="51"/>
      <c r="L404" s="43"/>
      <c r="M404" s="150"/>
    </row>
    <row r="405" spans="1:13" s="6" customFormat="1" x14ac:dyDescent="0.2">
      <c r="A405" s="36" t="str">
        <f>IF(F405&lt;&gt;"",1+MAX($A$1:A404),"")</f>
        <v/>
      </c>
      <c r="B405" s="58"/>
      <c r="C405" s="59"/>
      <c r="D405" s="59" t="s">
        <v>39</v>
      </c>
      <c r="E405" s="60" t="s">
        <v>40</v>
      </c>
      <c r="F405" s="47"/>
      <c r="G405" s="40"/>
      <c r="H405" s="40"/>
      <c r="I405" s="40"/>
      <c r="J405" s="61"/>
      <c r="K405" s="40"/>
      <c r="L405" s="43"/>
      <c r="M405" s="151"/>
    </row>
    <row r="406" spans="1:13" s="13" customFormat="1" x14ac:dyDescent="0.2">
      <c r="A406" s="36" t="str">
        <f>IF(F406&lt;&gt;"",1+MAX($A$1:A405),"")</f>
        <v/>
      </c>
      <c r="B406" s="37"/>
      <c r="C406" s="38"/>
      <c r="D406" s="39"/>
      <c r="E406" s="39" t="s">
        <v>143</v>
      </c>
      <c r="F406" s="40"/>
      <c r="G406" s="40"/>
      <c r="H406" s="41"/>
      <c r="I406" s="37"/>
      <c r="J406" s="42"/>
      <c r="K406" s="43"/>
      <c r="L406" s="43"/>
      <c r="M406" s="150"/>
    </row>
    <row r="407" spans="1:13" s="13" customFormat="1" ht="47.25" x14ac:dyDescent="0.2">
      <c r="A407" s="36">
        <f>IF(F407&lt;&gt;"",1+MAX($A$1:A406),"")</f>
        <v>245</v>
      </c>
      <c r="B407" s="44" t="s">
        <v>146</v>
      </c>
      <c r="C407" s="38" t="s">
        <v>147</v>
      </c>
      <c r="D407" s="45"/>
      <c r="E407" s="24" t="s">
        <v>426</v>
      </c>
      <c r="F407" s="47">
        <v>4050</v>
      </c>
      <c r="G407" s="48">
        <v>0.1</v>
      </c>
      <c r="H407" s="49">
        <f t="shared" ref="H407:H408" si="114">F407*(1+G407)</f>
        <v>4455</v>
      </c>
      <c r="I407" s="38" t="s">
        <v>16</v>
      </c>
      <c r="J407" s="50">
        <v>0</v>
      </c>
      <c r="K407" s="51">
        <f t="shared" ref="K407:K408" si="115">J407*H407</f>
        <v>0</v>
      </c>
      <c r="L407" s="43"/>
      <c r="M407" s="150"/>
    </row>
    <row r="408" spans="1:13" s="13" customFormat="1" x14ac:dyDescent="0.2">
      <c r="A408" s="36">
        <f>IF(F408&lt;&gt;"",1+MAX($A$1:A407),"")</f>
        <v>246</v>
      </c>
      <c r="B408" s="44" t="s">
        <v>146</v>
      </c>
      <c r="C408" s="38" t="s">
        <v>147</v>
      </c>
      <c r="D408" s="45"/>
      <c r="E408" s="24" t="s">
        <v>145</v>
      </c>
      <c r="F408" s="47">
        <f>227.1*1.25</f>
        <v>283.875</v>
      </c>
      <c r="G408" s="48">
        <v>0.1</v>
      </c>
      <c r="H408" s="49">
        <f t="shared" si="114"/>
        <v>312.26250000000005</v>
      </c>
      <c r="I408" s="38" t="s">
        <v>16</v>
      </c>
      <c r="J408" s="53">
        <v>0</v>
      </c>
      <c r="K408" s="51">
        <f t="shared" si="115"/>
        <v>0</v>
      </c>
      <c r="L408" s="43"/>
      <c r="M408" s="150"/>
    </row>
    <row r="409" spans="1:13" s="13" customFormat="1" x14ac:dyDescent="0.2">
      <c r="A409" s="36" t="str">
        <f>IF(F409&lt;&gt;"",1+MAX($A$1:A408),"")</f>
        <v/>
      </c>
      <c r="B409" s="38"/>
      <c r="C409" s="38"/>
      <c r="D409" s="44"/>
      <c r="E409" s="40"/>
      <c r="F409" s="41"/>
      <c r="G409" s="54"/>
      <c r="H409" s="41"/>
      <c r="I409" s="37"/>
      <c r="J409" s="51"/>
      <c r="K409" s="51"/>
      <c r="L409" s="51"/>
      <c r="M409" s="150"/>
    </row>
    <row r="410" spans="1:13" s="13" customFormat="1" x14ac:dyDescent="0.2">
      <c r="A410" s="36" t="str">
        <f>IF(F410&lt;&gt;"",1+MAX($A$1:A409),"")</f>
        <v/>
      </c>
      <c r="B410" s="38"/>
      <c r="C410" s="38"/>
      <c r="D410" s="44"/>
      <c r="E410" s="55" t="s">
        <v>144</v>
      </c>
      <c r="F410" s="52"/>
      <c r="G410" s="54"/>
      <c r="H410" s="41"/>
      <c r="I410" s="37"/>
      <c r="J410" s="51"/>
      <c r="K410" s="56"/>
      <c r="L410" s="56">
        <f>SUM(K406:K409)</f>
        <v>0</v>
      </c>
      <c r="M410" s="150"/>
    </row>
    <row r="411" spans="1:13" s="13" customFormat="1" x14ac:dyDescent="0.2">
      <c r="A411" s="36" t="str">
        <f>IF(F411&lt;&gt;"",1+MAX($A$1:A410),"")</f>
        <v/>
      </c>
      <c r="B411" s="38"/>
      <c r="C411" s="38"/>
      <c r="D411" s="44"/>
      <c r="E411" s="55"/>
      <c r="F411" s="47"/>
      <c r="G411" s="87"/>
      <c r="H411" s="49"/>
      <c r="I411" s="38"/>
      <c r="J411" s="53"/>
      <c r="K411" s="51"/>
      <c r="L411" s="43"/>
      <c r="M411" s="150"/>
    </row>
    <row r="412" spans="1:13" s="13" customFormat="1" x14ac:dyDescent="0.2">
      <c r="A412" s="36" t="str">
        <f>IF(F412&lt;&gt;"",1+MAX($A$1:A411),"")</f>
        <v/>
      </c>
      <c r="B412" s="37"/>
      <c r="C412" s="38"/>
      <c r="D412" s="39"/>
      <c r="E412" s="39" t="s">
        <v>41</v>
      </c>
      <c r="F412" s="40"/>
      <c r="G412" s="40"/>
      <c r="H412" s="41"/>
      <c r="I412" s="37"/>
      <c r="J412" s="42"/>
      <c r="K412" s="43"/>
      <c r="L412" s="43"/>
      <c r="M412" s="150"/>
    </row>
    <row r="413" spans="1:13" s="13" customFormat="1" x14ac:dyDescent="0.2">
      <c r="A413" s="36">
        <f>IF(F413&lt;&gt;"",1+MAX($A$1:A412),"")</f>
        <v>247</v>
      </c>
      <c r="B413" s="44" t="s">
        <v>146</v>
      </c>
      <c r="C413" s="38" t="s">
        <v>148</v>
      </c>
      <c r="D413" s="45"/>
      <c r="E413" s="24" t="s">
        <v>137</v>
      </c>
      <c r="F413" s="47">
        <f>114</f>
        <v>114</v>
      </c>
      <c r="G413" s="48">
        <v>0.1</v>
      </c>
      <c r="H413" s="49">
        <f t="shared" ref="H413:H420" si="116">F413*(1+G413)</f>
        <v>125.4</v>
      </c>
      <c r="I413" s="38" t="s">
        <v>13</v>
      </c>
      <c r="J413" s="53">
        <v>0</v>
      </c>
      <c r="K413" s="51">
        <f t="shared" ref="K413:K418" si="117">J413*H413</f>
        <v>0</v>
      </c>
      <c r="L413" s="43"/>
      <c r="M413" s="150"/>
    </row>
    <row r="414" spans="1:13" s="13" customFormat="1" x14ac:dyDescent="0.2">
      <c r="A414" s="36">
        <f>IF(F414&lt;&gt;"",1+MAX($A$1:A413),"")</f>
        <v>248</v>
      </c>
      <c r="B414" s="44" t="s">
        <v>146</v>
      </c>
      <c r="C414" s="38" t="s">
        <v>149</v>
      </c>
      <c r="D414" s="45"/>
      <c r="E414" s="24" t="s">
        <v>138</v>
      </c>
      <c r="F414" s="47">
        <v>227.1</v>
      </c>
      <c r="G414" s="48">
        <v>0.1</v>
      </c>
      <c r="H414" s="49">
        <f t="shared" ref="H414:H418" si="118">F414*(1+G414)</f>
        <v>249.81</v>
      </c>
      <c r="I414" s="38" t="s">
        <v>13</v>
      </c>
      <c r="J414" s="53">
        <v>0</v>
      </c>
      <c r="K414" s="51">
        <f t="shared" si="117"/>
        <v>0</v>
      </c>
      <c r="L414" s="43"/>
      <c r="M414" s="150"/>
    </row>
    <row r="415" spans="1:13" s="13" customFormat="1" x14ac:dyDescent="0.2">
      <c r="A415" s="36">
        <f>IF(F415&lt;&gt;"",1+MAX($A$1:A414),"")</f>
        <v>249</v>
      </c>
      <c r="B415" s="44" t="s">
        <v>146</v>
      </c>
      <c r="C415" s="38"/>
      <c r="D415" s="45"/>
      <c r="E415" s="24" t="s">
        <v>150</v>
      </c>
      <c r="F415" s="47">
        <v>73.8</v>
      </c>
      <c r="G415" s="48">
        <v>0.1</v>
      </c>
      <c r="H415" s="49">
        <f t="shared" ref="H415" si="119">F415*(1+G415)</f>
        <v>81.180000000000007</v>
      </c>
      <c r="I415" s="38" t="s">
        <v>13</v>
      </c>
      <c r="J415" s="53">
        <v>0</v>
      </c>
      <c r="K415" s="51">
        <f t="shared" ref="K415" si="120">J415*H415</f>
        <v>0</v>
      </c>
      <c r="L415" s="43"/>
      <c r="M415" s="150"/>
    </row>
    <row r="416" spans="1:13" s="13" customFormat="1" x14ac:dyDescent="0.2">
      <c r="A416" s="36">
        <f>IF(F416&lt;&gt;"",1+MAX($A$1:A415),"")</f>
        <v>250</v>
      </c>
      <c r="B416" s="44" t="s">
        <v>146</v>
      </c>
      <c r="C416" s="38" t="s">
        <v>149</v>
      </c>
      <c r="D416" s="45"/>
      <c r="E416" s="24" t="s">
        <v>139</v>
      </c>
      <c r="F416" s="47">
        <v>227.1</v>
      </c>
      <c r="G416" s="48">
        <v>0.1</v>
      </c>
      <c r="H416" s="49">
        <f t="shared" si="118"/>
        <v>249.81</v>
      </c>
      <c r="I416" s="38" t="s">
        <v>13</v>
      </c>
      <c r="J416" s="53">
        <v>0</v>
      </c>
      <c r="K416" s="51">
        <f t="shared" si="117"/>
        <v>0</v>
      </c>
      <c r="L416" s="43"/>
      <c r="M416" s="150"/>
    </row>
    <row r="417" spans="1:13" s="13" customFormat="1" x14ac:dyDescent="0.2">
      <c r="A417" s="36">
        <f>IF(F417&lt;&gt;"",1+MAX($A$1:A416),"")</f>
        <v>251</v>
      </c>
      <c r="B417" s="44" t="s">
        <v>146</v>
      </c>
      <c r="C417" s="38" t="s">
        <v>149</v>
      </c>
      <c r="D417" s="45"/>
      <c r="E417" s="24" t="s">
        <v>140</v>
      </c>
      <c r="F417" s="47">
        <v>227.1</v>
      </c>
      <c r="G417" s="48">
        <v>0.1</v>
      </c>
      <c r="H417" s="49">
        <f t="shared" si="118"/>
        <v>249.81</v>
      </c>
      <c r="I417" s="38" t="s">
        <v>13</v>
      </c>
      <c r="J417" s="53">
        <v>0</v>
      </c>
      <c r="K417" s="51">
        <f t="shared" si="117"/>
        <v>0</v>
      </c>
      <c r="L417" s="43"/>
      <c r="M417" s="150"/>
    </row>
    <row r="418" spans="1:13" s="13" customFormat="1" x14ac:dyDescent="0.2">
      <c r="A418" s="36">
        <f>IF(F418&lt;&gt;"",1+MAX($A$1:A417),"")</f>
        <v>252</v>
      </c>
      <c r="B418" s="44" t="s">
        <v>146</v>
      </c>
      <c r="C418" s="38" t="s">
        <v>148</v>
      </c>
      <c r="D418" s="45"/>
      <c r="E418" s="24" t="s">
        <v>141</v>
      </c>
      <c r="F418" s="47">
        <v>2</v>
      </c>
      <c r="G418" s="48">
        <v>0</v>
      </c>
      <c r="H418" s="49">
        <f t="shared" si="118"/>
        <v>2</v>
      </c>
      <c r="I418" s="38" t="s">
        <v>360</v>
      </c>
      <c r="J418" s="53">
        <v>0</v>
      </c>
      <c r="K418" s="51">
        <f t="shared" si="117"/>
        <v>0</v>
      </c>
      <c r="L418" s="43"/>
      <c r="M418" s="150"/>
    </row>
    <row r="419" spans="1:13" s="13" customFormat="1" x14ac:dyDescent="0.2">
      <c r="A419" s="36">
        <f>IF(F419&lt;&gt;"",1+MAX($A$1:A418),"")</f>
        <v>253</v>
      </c>
      <c r="B419" s="44" t="s">
        <v>146</v>
      </c>
      <c r="C419" s="38" t="s">
        <v>148</v>
      </c>
      <c r="D419" s="45"/>
      <c r="E419" s="24" t="s">
        <v>142</v>
      </c>
      <c r="F419" s="47">
        <v>3</v>
      </c>
      <c r="G419" s="48">
        <v>0</v>
      </c>
      <c r="H419" s="49">
        <f t="shared" si="116"/>
        <v>3</v>
      </c>
      <c r="I419" s="38" t="s">
        <v>360</v>
      </c>
      <c r="J419" s="53">
        <v>0</v>
      </c>
      <c r="K419" s="51">
        <f t="shared" ref="K419:K420" si="121">J419*H419</f>
        <v>0</v>
      </c>
      <c r="L419" s="43"/>
      <c r="M419" s="150"/>
    </row>
    <row r="420" spans="1:13" s="13" customFormat="1" x14ac:dyDescent="0.2">
      <c r="A420" s="36">
        <f>IF(F420&lt;&gt;"",1+MAX($A$1:A419),"")</f>
        <v>254</v>
      </c>
      <c r="B420" s="44" t="s">
        <v>146</v>
      </c>
      <c r="C420" s="38" t="s">
        <v>149</v>
      </c>
      <c r="D420" s="45"/>
      <c r="E420" s="24" t="s">
        <v>352</v>
      </c>
      <c r="F420" s="47">
        <f>18.7</f>
        <v>18.7</v>
      </c>
      <c r="G420" s="48">
        <v>0.1</v>
      </c>
      <c r="H420" s="49">
        <f t="shared" si="116"/>
        <v>20.57</v>
      </c>
      <c r="I420" s="38" t="s">
        <v>13</v>
      </c>
      <c r="J420" s="53">
        <v>0</v>
      </c>
      <c r="K420" s="51">
        <f t="shared" si="121"/>
        <v>0</v>
      </c>
      <c r="L420" s="43"/>
      <c r="M420" s="150"/>
    </row>
    <row r="421" spans="1:13" s="13" customFormat="1" x14ac:dyDescent="0.2">
      <c r="A421" s="36">
        <f>IF(F421&lt;&gt;"",1+MAX($A$1:A420),"")</f>
        <v>255</v>
      </c>
      <c r="B421" s="44" t="s">
        <v>146</v>
      </c>
      <c r="C421" s="38"/>
      <c r="D421" s="45"/>
      <c r="E421" s="24" t="s">
        <v>358</v>
      </c>
      <c r="F421" s="47">
        <v>23.3</v>
      </c>
      <c r="G421" s="48">
        <v>0.1</v>
      </c>
      <c r="H421" s="49">
        <f t="shared" ref="H421" si="122">F421*(1+G421)</f>
        <v>25.630000000000003</v>
      </c>
      <c r="I421" s="38" t="s">
        <v>13</v>
      </c>
      <c r="J421" s="53">
        <v>0</v>
      </c>
      <c r="K421" s="51">
        <f t="shared" ref="K421" si="123">J421*H421</f>
        <v>0</v>
      </c>
      <c r="L421" s="43"/>
      <c r="M421" s="150"/>
    </row>
    <row r="422" spans="1:13" s="13" customFormat="1" x14ac:dyDescent="0.2">
      <c r="A422" s="36">
        <f>IF(F422&lt;&gt;"",1+MAX($A$1:A421),"")</f>
        <v>256</v>
      </c>
      <c r="B422" s="44" t="s">
        <v>146</v>
      </c>
      <c r="C422" s="38"/>
      <c r="D422" s="45"/>
      <c r="E422" s="24" t="s">
        <v>359</v>
      </c>
      <c r="F422" s="47">
        <v>8</v>
      </c>
      <c r="G422" s="48">
        <v>0</v>
      </c>
      <c r="H422" s="49">
        <f t="shared" ref="H422" si="124">F422*(1+G422)</f>
        <v>8</v>
      </c>
      <c r="I422" s="38" t="s">
        <v>360</v>
      </c>
      <c r="J422" s="53">
        <v>0</v>
      </c>
      <c r="K422" s="51">
        <f t="shared" ref="K422" si="125">J422*H422</f>
        <v>0</v>
      </c>
      <c r="L422" s="43"/>
      <c r="M422" s="150"/>
    </row>
    <row r="423" spans="1:13" s="13" customFormat="1" x14ac:dyDescent="0.2">
      <c r="A423" s="36" t="str">
        <f>IF(F423&lt;&gt;"",1+MAX($A$1:A422),"")</f>
        <v/>
      </c>
      <c r="B423" s="38"/>
      <c r="C423" s="38"/>
      <c r="D423" s="44"/>
      <c r="E423" s="40"/>
      <c r="F423" s="41"/>
      <c r="G423" s="54"/>
      <c r="H423" s="41"/>
      <c r="I423" s="37"/>
      <c r="J423" s="51"/>
      <c r="K423" s="51"/>
      <c r="L423" s="51"/>
      <c r="M423" s="150"/>
    </row>
    <row r="424" spans="1:13" s="13" customFormat="1" x14ac:dyDescent="0.2">
      <c r="A424" s="36" t="str">
        <f>IF(F424&lt;&gt;"",1+MAX($A$1:A423),"")</f>
        <v/>
      </c>
      <c r="B424" s="38"/>
      <c r="C424" s="38"/>
      <c r="D424" s="44"/>
      <c r="E424" s="55" t="s">
        <v>62</v>
      </c>
      <c r="F424" s="52"/>
      <c r="G424" s="54"/>
      <c r="H424" s="41"/>
      <c r="I424" s="37"/>
      <c r="J424" s="51"/>
      <c r="K424" s="56"/>
      <c r="L424" s="56">
        <f>SUM(K412:K423)</f>
        <v>0</v>
      </c>
      <c r="M424" s="150"/>
    </row>
    <row r="425" spans="1:13" s="13" customFormat="1" x14ac:dyDescent="0.2">
      <c r="A425" s="36" t="str">
        <f>IF(F425&lt;&gt;"",1+MAX($A$1:A424),"")</f>
        <v/>
      </c>
      <c r="B425" s="38"/>
      <c r="C425" s="38"/>
      <c r="D425" s="44"/>
      <c r="E425" s="55"/>
      <c r="F425" s="47"/>
      <c r="G425" s="87"/>
      <c r="H425" s="49"/>
      <c r="I425" s="38"/>
      <c r="J425" s="53"/>
      <c r="K425" s="51"/>
      <c r="L425" s="43"/>
      <c r="M425" s="150"/>
    </row>
    <row r="426" spans="1:13" s="6" customFormat="1" x14ac:dyDescent="0.2">
      <c r="A426" s="36" t="str">
        <f>IF(F426&lt;&gt;"",1+MAX($A$1:A425),"")</f>
        <v/>
      </c>
      <c r="B426" s="58"/>
      <c r="C426" s="59"/>
      <c r="D426" s="59" t="s">
        <v>170</v>
      </c>
      <c r="E426" s="60" t="s">
        <v>171</v>
      </c>
      <c r="F426" s="47"/>
      <c r="G426" s="40"/>
      <c r="H426" s="40"/>
      <c r="I426" s="40"/>
      <c r="J426" s="61"/>
      <c r="K426" s="40"/>
      <c r="L426" s="133"/>
      <c r="M426" s="151"/>
    </row>
    <row r="427" spans="1:13" x14ac:dyDescent="0.2">
      <c r="A427" s="36" t="str">
        <f>IF(F427&lt;&gt;"",1+MAX($A$1:A426),"")</f>
        <v/>
      </c>
      <c r="B427" s="44"/>
      <c r="C427" s="44"/>
      <c r="D427" s="44"/>
      <c r="E427" s="55" t="s">
        <v>172</v>
      </c>
      <c r="F427" s="47"/>
      <c r="G427" s="87"/>
      <c r="H427" s="49"/>
      <c r="I427" s="38"/>
      <c r="J427" s="79"/>
      <c r="K427" s="93"/>
      <c r="L427" s="133"/>
      <c r="M427" s="153"/>
    </row>
    <row r="428" spans="1:13" s="13" customFormat="1" x14ac:dyDescent="0.2">
      <c r="A428" s="36" t="str">
        <f>IF(F428&lt;&gt;"",1+MAX($A$1:A427),"")</f>
        <v/>
      </c>
      <c r="B428" s="44"/>
      <c r="C428" s="44"/>
      <c r="D428" s="85"/>
      <c r="E428" s="88" t="s">
        <v>173</v>
      </c>
      <c r="F428" s="47"/>
      <c r="G428" s="87"/>
      <c r="H428" s="49"/>
      <c r="I428" s="38"/>
      <c r="J428" s="53"/>
      <c r="K428" s="51"/>
      <c r="L428" s="43"/>
      <c r="M428" s="150"/>
    </row>
    <row r="429" spans="1:13" s="15" customFormat="1" ht="63" x14ac:dyDescent="0.2">
      <c r="A429" s="36">
        <f>IF(F429&lt;&gt;"",1+MAX($A$1:A428),"")</f>
        <v>257</v>
      </c>
      <c r="B429" s="64" t="s">
        <v>82</v>
      </c>
      <c r="C429" s="64" t="s">
        <v>174</v>
      </c>
      <c r="D429" s="75"/>
      <c r="E429" s="46" t="s">
        <v>175</v>
      </c>
      <c r="F429" s="52">
        <v>2</v>
      </c>
      <c r="G429" s="48">
        <v>0</v>
      </c>
      <c r="H429" s="41">
        <f t="shared" ref="H429:H441" si="126">F429*(1+G429)</f>
        <v>2</v>
      </c>
      <c r="I429" s="37" t="s">
        <v>18</v>
      </c>
      <c r="J429" s="50">
        <v>0</v>
      </c>
      <c r="K429" s="42">
        <f t="shared" ref="K429:K443" si="127">J429*H429</f>
        <v>0</v>
      </c>
      <c r="L429" s="134"/>
      <c r="M429" s="154"/>
    </row>
    <row r="430" spans="1:13" s="15" customFormat="1" ht="63" x14ac:dyDescent="0.2">
      <c r="A430" s="36">
        <f>IF(F430&lt;&gt;"",1+MAX($A$1:A429),"")</f>
        <v>258</v>
      </c>
      <c r="B430" s="64" t="s">
        <v>82</v>
      </c>
      <c r="C430" s="64" t="s">
        <v>174</v>
      </c>
      <c r="D430" s="75"/>
      <c r="E430" s="46" t="s">
        <v>176</v>
      </c>
      <c r="F430" s="52">
        <v>1</v>
      </c>
      <c r="G430" s="48">
        <v>0</v>
      </c>
      <c r="H430" s="41">
        <f t="shared" si="126"/>
        <v>1</v>
      </c>
      <c r="I430" s="37" t="s">
        <v>18</v>
      </c>
      <c r="J430" s="50">
        <v>0</v>
      </c>
      <c r="K430" s="42">
        <f t="shared" si="127"/>
        <v>0</v>
      </c>
      <c r="L430" s="134"/>
      <c r="M430" s="154"/>
    </row>
    <row r="431" spans="1:13" s="15" customFormat="1" ht="63" x14ac:dyDescent="0.2">
      <c r="A431" s="36">
        <f>IF(F431&lt;&gt;"",1+MAX($A$1:A430),"")</f>
        <v>259</v>
      </c>
      <c r="B431" s="64" t="s">
        <v>82</v>
      </c>
      <c r="C431" s="64" t="s">
        <v>174</v>
      </c>
      <c r="D431" s="75"/>
      <c r="E431" s="46" t="s">
        <v>177</v>
      </c>
      <c r="F431" s="52">
        <v>2</v>
      </c>
      <c r="G431" s="48">
        <v>0</v>
      </c>
      <c r="H431" s="41">
        <f t="shared" si="126"/>
        <v>2</v>
      </c>
      <c r="I431" s="37" t="s">
        <v>18</v>
      </c>
      <c r="J431" s="50">
        <v>0</v>
      </c>
      <c r="K431" s="42">
        <f t="shared" si="127"/>
        <v>0</v>
      </c>
      <c r="L431" s="134"/>
      <c r="M431" s="154"/>
    </row>
    <row r="432" spans="1:13" s="15" customFormat="1" ht="63" x14ac:dyDescent="0.2">
      <c r="A432" s="36">
        <f>IF(F432&lt;&gt;"",1+MAX($A$1:A431),"")</f>
        <v>260</v>
      </c>
      <c r="B432" s="64" t="s">
        <v>82</v>
      </c>
      <c r="C432" s="64" t="s">
        <v>174</v>
      </c>
      <c r="D432" s="75"/>
      <c r="E432" s="46" t="s">
        <v>178</v>
      </c>
      <c r="F432" s="52">
        <v>1</v>
      </c>
      <c r="G432" s="48">
        <v>0</v>
      </c>
      <c r="H432" s="41">
        <f t="shared" si="126"/>
        <v>1</v>
      </c>
      <c r="I432" s="37" t="s">
        <v>18</v>
      </c>
      <c r="J432" s="50">
        <v>0</v>
      </c>
      <c r="K432" s="42">
        <f t="shared" si="127"/>
        <v>0</v>
      </c>
      <c r="L432" s="134"/>
      <c r="M432" s="154"/>
    </row>
    <row r="433" spans="1:13" s="15" customFormat="1" ht="63" x14ac:dyDescent="0.2">
      <c r="A433" s="36">
        <f>IF(F433&lt;&gt;"",1+MAX($A$1:A432),"")</f>
        <v>261</v>
      </c>
      <c r="B433" s="64" t="s">
        <v>82</v>
      </c>
      <c r="C433" s="64" t="s">
        <v>174</v>
      </c>
      <c r="D433" s="75"/>
      <c r="E433" s="46" t="s">
        <v>179</v>
      </c>
      <c r="F433" s="52">
        <v>1</v>
      </c>
      <c r="G433" s="48">
        <v>0</v>
      </c>
      <c r="H433" s="41">
        <f t="shared" si="126"/>
        <v>1</v>
      </c>
      <c r="I433" s="37" t="s">
        <v>18</v>
      </c>
      <c r="J433" s="50">
        <v>0</v>
      </c>
      <c r="K433" s="42">
        <f t="shared" si="127"/>
        <v>0</v>
      </c>
      <c r="L433" s="134"/>
      <c r="M433" s="154"/>
    </row>
    <row r="434" spans="1:13" s="15" customFormat="1" ht="63" x14ac:dyDescent="0.2">
      <c r="A434" s="36">
        <f>IF(F434&lt;&gt;"",1+MAX($A$1:A433),"")</f>
        <v>262</v>
      </c>
      <c r="B434" s="64" t="s">
        <v>82</v>
      </c>
      <c r="C434" s="64" t="s">
        <v>174</v>
      </c>
      <c r="D434" s="75"/>
      <c r="E434" s="46" t="s">
        <v>180</v>
      </c>
      <c r="F434" s="52">
        <v>10</v>
      </c>
      <c r="G434" s="48">
        <v>0</v>
      </c>
      <c r="H434" s="41">
        <f t="shared" si="126"/>
        <v>10</v>
      </c>
      <c r="I434" s="37" t="s">
        <v>18</v>
      </c>
      <c r="J434" s="50">
        <v>0</v>
      </c>
      <c r="K434" s="42">
        <f t="shared" si="127"/>
        <v>0</v>
      </c>
      <c r="L434" s="134"/>
      <c r="M434" s="154"/>
    </row>
    <row r="435" spans="1:13" s="15" customFormat="1" ht="63" x14ac:dyDescent="0.2">
      <c r="A435" s="36">
        <f>IF(F435&lt;&gt;"",1+MAX($A$1:A434),"")</f>
        <v>263</v>
      </c>
      <c r="B435" s="64" t="s">
        <v>82</v>
      </c>
      <c r="C435" s="64" t="s">
        <v>174</v>
      </c>
      <c r="D435" s="75"/>
      <c r="E435" s="46" t="s">
        <v>181</v>
      </c>
      <c r="F435" s="52">
        <v>24</v>
      </c>
      <c r="G435" s="48">
        <v>0</v>
      </c>
      <c r="H435" s="41">
        <f t="shared" si="126"/>
        <v>24</v>
      </c>
      <c r="I435" s="37" t="s">
        <v>18</v>
      </c>
      <c r="J435" s="50">
        <v>0</v>
      </c>
      <c r="K435" s="42">
        <f t="shared" si="127"/>
        <v>0</v>
      </c>
      <c r="L435" s="134"/>
      <c r="M435" s="154"/>
    </row>
    <row r="436" spans="1:13" s="15" customFormat="1" ht="63" x14ac:dyDescent="0.2">
      <c r="A436" s="36">
        <f>IF(F436&lt;&gt;"",1+MAX($A$1:A435),"")</f>
        <v>264</v>
      </c>
      <c r="B436" s="64" t="s">
        <v>82</v>
      </c>
      <c r="C436" s="64" t="s">
        <v>174</v>
      </c>
      <c r="D436" s="75"/>
      <c r="E436" s="46" t="s">
        <v>182</v>
      </c>
      <c r="F436" s="52">
        <v>12</v>
      </c>
      <c r="G436" s="48">
        <v>0</v>
      </c>
      <c r="H436" s="41">
        <f t="shared" si="126"/>
        <v>12</v>
      </c>
      <c r="I436" s="37" t="s">
        <v>18</v>
      </c>
      <c r="J436" s="50">
        <v>0</v>
      </c>
      <c r="K436" s="42">
        <f t="shared" si="127"/>
        <v>0</v>
      </c>
      <c r="L436" s="134"/>
      <c r="M436" s="154"/>
    </row>
    <row r="437" spans="1:13" s="15" customFormat="1" ht="63" x14ac:dyDescent="0.2">
      <c r="A437" s="36">
        <f>IF(F437&lt;&gt;"",1+MAX($A$1:A436),"")</f>
        <v>265</v>
      </c>
      <c r="B437" s="64" t="s">
        <v>82</v>
      </c>
      <c r="C437" s="64" t="s">
        <v>174</v>
      </c>
      <c r="D437" s="75"/>
      <c r="E437" s="46" t="s">
        <v>183</v>
      </c>
      <c r="F437" s="52">
        <v>8</v>
      </c>
      <c r="G437" s="48">
        <v>0</v>
      </c>
      <c r="H437" s="41">
        <f t="shared" si="126"/>
        <v>8</v>
      </c>
      <c r="I437" s="37" t="s">
        <v>18</v>
      </c>
      <c r="J437" s="50">
        <v>0</v>
      </c>
      <c r="K437" s="42">
        <f t="shared" si="127"/>
        <v>0</v>
      </c>
      <c r="L437" s="134"/>
      <c r="M437" s="154"/>
    </row>
    <row r="438" spans="1:13" s="15" customFormat="1" ht="63" x14ac:dyDescent="0.2">
      <c r="A438" s="36">
        <f>IF(F438&lt;&gt;"",1+MAX($A$1:A437),"")</f>
        <v>266</v>
      </c>
      <c r="B438" s="64" t="s">
        <v>82</v>
      </c>
      <c r="C438" s="64" t="s">
        <v>174</v>
      </c>
      <c r="D438" s="75"/>
      <c r="E438" s="46" t="s">
        <v>184</v>
      </c>
      <c r="F438" s="52">
        <v>6</v>
      </c>
      <c r="G438" s="48">
        <v>0</v>
      </c>
      <c r="H438" s="41">
        <f t="shared" si="126"/>
        <v>6</v>
      </c>
      <c r="I438" s="37" t="s">
        <v>18</v>
      </c>
      <c r="J438" s="50">
        <v>0</v>
      </c>
      <c r="K438" s="42">
        <f t="shared" si="127"/>
        <v>0</v>
      </c>
      <c r="L438" s="134"/>
      <c r="M438" s="154"/>
    </row>
    <row r="439" spans="1:13" s="15" customFormat="1" ht="63" x14ac:dyDescent="0.2">
      <c r="A439" s="36">
        <f>IF(F439&lt;&gt;"",1+MAX($A$1:A438),"")</f>
        <v>267</v>
      </c>
      <c r="B439" s="64" t="s">
        <v>82</v>
      </c>
      <c r="C439" s="64" t="s">
        <v>174</v>
      </c>
      <c r="D439" s="75"/>
      <c r="E439" s="46" t="s">
        <v>185</v>
      </c>
      <c r="F439" s="52">
        <v>2</v>
      </c>
      <c r="G439" s="48">
        <v>0</v>
      </c>
      <c r="H439" s="41">
        <f t="shared" si="126"/>
        <v>2</v>
      </c>
      <c r="I439" s="37" t="s">
        <v>18</v>
      </c>
      <c r="J439" s="50">
        <v>0</v>
      </c>
      <c r="K439" s="42">
        <f t="shared" si="127"/>
        <v>0</v>
      </c>
      <c r="L439" s="134"/>
      <c r="M439" s="154"/>
    </row>
    <row r="440" spans="1:13" s="15" customFormat="1" ht="63" x14ac:dyDescent="0.2">
      <c r="A440" s="36">
        <f>IF(F440&lt;&gt;"",1+MAX($A$1:A439),"")</f>
        <v>268</v>
      </c>
      <c r="B440" s="64" t="s">
        <v>82</v>
      </c>
      <c r="C440" s="64" t="s">
        <v>174</v>
      </c>
      <c r="D440" s="75"/>
      <c r="E440" s="46" t="s">
        <v>186</v>
      </c>
      <c r="F440" s="52">
        <v>1</v>
      </c>
      <c r="G440" s="48">
        <v>0</v>
      </c>
      <c r="H440" s="41">
        <f t="shared" si="126"/>
        <v>1</v>
      </c>
      <c r="I440" s="37" t="s">
        <v>18</v>
      </c>
      <c r="J440" s="50">
        <v>0</v>
      </c>
      <c r="K440" s="42">
        <f t="shared" si="127"/>
        <v>0</v>
      </c>
      <c r="L440" s="134"/>
      <c r="M440" s="154"/>
    </row>
    <row r="441" spans="1:13" s="15" customFormat="1" ht="63" x14ac:dyDescent="0.2">
      <c r="A441" s="36">
        <f>IF(F441&lt;&gt;"",1+MAX($A$1:A440),"")</f>
        <v>269</v>
      </c>
      <c r="B441" s="64" t="s">
        <v>82</v>
      </c>
      <c r="C441" s="64" t="s">
        <v>174</v>
      </c>
      <c r="D441" s="75"/>
      <c r="E441" s="46" t="s">
        <v>187</v>
      </c>
      <c r="F441" s="52">
        <v>1</v>
      </c>
      <c r="G441" s="48">
        <v>0</v>
      </c>
      <c r="H441" s="41">
        <f t="shared" si="126"/>
        <v>1</v>
      </c>
      <c r="I441" s="37" t="s">
        <v>18</v>
      </c>
      <c r="J441" s="50">
        <v>0</v>
      </c>
      <c r="K441" s="42">
        <f t="shared" si="127"/>
        <v>0</v>
      </c>
      <c r="L441" s="134"/>
      <c r="M441" s="154"/>
    </row>
    <row r="442" spans="1:13" s="13" customFormat="1" x14ac:dyDescent="0.2">
      <c r="A442" s="36" t="str">
        <f>IF(F442&lt;&gt;"",1+MAX($A$1:A441),"")</f>
        <v/>
      </c>
      <c r="B442" s="44"/>
      <c r="C442" s="44"/>
      <c r="D442" s="85"/>
      <c r="E442" s="88" t="s">
        <v>188</v>
      </c>
      <c r="F442" s="47"/>
      <c r="G442" s="87"/>
      <c r="H442" s="49"/>
      <c r="I442" s="38"/>
      <c r="J442" s="53"/>
      <c r="K442" s="51"/>
      <c r="L442" s="43"/>
      <c r="M442" s="150"/>
    </row>
    <row r="443" spans="1:13" s="15" customFormat="1" ht="31.5" x14ac:dyDescent="0.2">
      <c r="A443" s="36">
        <f>IF(F443&lt;&gt;"",1+MAX($A$1:A442),"")</f>
        <v>270</v>
      </c>
      <c r="B443" s="64" t="s">
        <v>189</v>
      </c>
      <c r="C443" s="64" t="s">
        <v>190</v>
      </c>
      <c r="D443" s="75"/>
      <c r="E443" s="46" t="s">
        <v>345</v>
      </c>
      <c r="F443" s="52">
        <f>6*8*4</f>
        <v>192</v>
      </c>
      <c r="G443" s="48">
        <v>0.1</v>
      </c>
      <c r="H443" s="41">
        <f t="shared" ref="H443" si="128">F443*(1+G443)</f>
        <v>211.20000000000002</v>
      </c>
      <c r="I443" s="37" t="s">
        <v>16</v>
      </c>
      <c r="J443" s="53">
        <v>0</v>
      </c>
      <c r="K443" s="42">
        <f t="shared" si="127"/>
        <v>0</v>
      </c>
      <c r="L443" s="134"/>
      <c r="M443" s="154"/>
    </row>
    <row r="444" spans="1:13" s="13" customFormat="1" x14ac:dyDescent="0.2">
      <c r="A444" s="36" t="str">
        <f>IF(F444&lt;&gt;"",1+MAX($A$1:A443),"")</f>
        <v/>
      </c>
      <c r="B444" s="44"/>
      <c r="C444" s="44"/>
      <c r="D444" s="85"/>
      <c r="E444" s="88" t="s">
        <v>346</v>
      </c>
      <c r="F444" s="47"/>
      <c r="G444" s="87"/>
      <c r="H444" s="49"/>
      <c r="I444" s="38"/>
      <c r="J444" s="53"/>
      <c r="K444" s="51"/>
      <c r="L444" s="43"/>
      <c r="M444" s="150"/>
    </row>
    <row r="445" spans="1:13" s="15" customFormat="1" ht="63" x14ac:dyDescent="0.2">
      <c r="A445" s="36">
        <f>IF(F445&lt;&gt;"",1+MAX($A$1:A444),"")</f>
        <v>271</v>
      </c>
      <c r="B445" s="64" t="s">
        <v>82</v>
      </c>
      <c r="C445" s="64" t="s">
        <v>174</v>
      </c>
      <c r="D445" s="75"/>
      <c r="E445" s="46" t="s">
        <v>191</v>
      </c>
      <c r="F445" s="52">
        <v>1</v>
      </c>
      <c r="G445" s="48">
        <v>0</v>
      </c>
      <c r="H445" s="41">
        <f>F445*(1+G445)</f>
        <v>1</v>
      </c>
      <c r="I445" s="37" t="s">
        <v>18</v>
      </c>
      <c r="J445" s="98">
        <v>0</v>
      </c>
      <c r="K445" s="42">
        <f>J445*H445</f>
        <v>0</v>
      </c>
      <c r="L445" s="134"/>
      <c r="M445" s="154"/>
    </row>
    <row r="446" spans="1:13" s="15" customFormat="1" ht="18.75" x14ac:dyDescent="0.2">
      <c r="A446" s="36" t="str">
        <f>IF(F446&lt;&gt;"",1+MAX($A$1:A445),"")</f>
        <v/>
      </c>
      <c r="B446" s="64"/>
      <c r="C446" s="64"/>
      <c r="D446" s="75"/>
      <c r="E446" s="46"/>
      <c r="F446" s="52"/>
      <c r="G446" s="48"/>
      <c r="H446" s="48"/>
      <c r="I446" s="48"/>
      <c r="J446" s="48"/>
      <c r="K446" s="42"/>
      <c r="L446" s="134"/>
      <c r="M446" s="154"/>
    </row>
    <row r="447" spans="1:13" x14ac:dyDescent="0.2">
      <c r="A447" s="36" t="str">
        <f>IF(F447&lt;&gt;"",1+MAX($A$1:A446),"")</f>
        <v/>
      </c>
      <c r="B447" s="44"/>
      <c r="C447" s="44"/>
      <c r="D447" s="44"/>
      <c r="E447" s="55" t="s">
        <v>192</v>
      </c>
      <c r="F447" s="47"/>
      <c r="G447" s="87"/>
      <c r="H447" s="49"/>
      <c r="I447" s="38"/>
      <c r="J447" s="79"/>
      <c r="K447" s="93"/>
      <c r="L447" s="133"/>
      <c r="M447" s="153"/>
    </row>
    <row r="448" spans="1:13" s="15" customFormat="1" ht="47.25" x14ac:dyDescent="0.2">
      <c r="A448" s="36">
        <f>IF(F448&lt;&gt;"",1+MAX($A$1:A447),"")</f>
        <v>272</v>
      </c>
      <c r="B448" s="64" t="s">
        <v>82</v>
      </c>
      <c r="C448" s="64" t="s">
        <v>193</v>
      </c>
      <c r="D448" s="75"/>
      <c r="E448" s="46" t="s">
        <v>427</v>
      </c>
      <c r="F448" s="52">
        <f>10*6*6</f>
        <v>360</v>
      </c>
      <c r="G448" s="48">
        <v>0.1</v>
      </c>
      <c r="H448" s="41">
        <f t="shared" ref="H448:H452" si="129">F448*(1+G448)</f>
        <v>396.00000000000006</v>
      </c>
      <c r="I448" s="37" t="s">
        <v>16</v>
      </c>
      <c r="J448" s="79">
        <f t="shared" ref="J448:J452" si="130">J$443</f>
        <v>0</v>
      </c>
      <c r="K448" s="42">
        <f t="shared" ref="K448:K452" si="131">J448*H448</f>
        <v>0</v>
      </c>
      <c r="L448" s="134"/>
      <c r="M448" s="154"/>
    </row>
    <row r="449" spans="1:13" s="15" customFormat="1" ht="47.25" x14ac:dyDescent="0.2">
      <c r="A449" s="36">
        <f>IF(F449&lt;&gt;"",1+MAX($A$1:A448),"")</f>
        <v>273</v>
      </c>
      <c r="B449" s="64" t="s">
        <v>82</v>
      </c>
      <c r="C449" s="64" t="s">
        <v>193</v>
      </c>
      <c r="D449" s="75"/>
      <c r="E449" s="46" t="s">
        <v>428</v>
      </c>
      <c r="F449" s="52">
        <f>10*3*6</f>
        <v>180</v>
      </c>
      <c r="G449" s="48">
        <v>0.1</v>
      </c>
      <c r="H449" s="41">
        <f t="shared" si="129"/>
        <v>198.00000000000003</v>
      </c>
      <c r="I449" s="37" t="s">
        <v>16</v>
      </c>
      <c r="J449" s="79">
        <f t="shared" si="130"/>
        <v>0</v>
      </c>
      <c r="K449" s="42">
        <f t="shared" si="131"/>
        <v>0</v>
      </c>
      <c r="L449" s="134"/>
      <c r="M449" s="154"/>
    </row>
    <row r="450" spans="1:13" s="15" customFormat="1" ht="47.25" x14ac:dyDescent="0.2">
      <c r="A450" s="36">
        <f>IF(F450&lt;&gt;"",1+MAX($A$1:A449),"")</f>
        <v>274</v>
      </c>
      <c r="B450" s="64" t="s">
        <v>82</v>
      </c>
      <c r="C450" s="64" t="s">
        <v>193</v>
      </c>
      <c r="D450" s="46" t="s">
        <v>194</v>
      </c>
      <c r="E450" s="46" t="s">
        <v>429</v>
      </c>
      <c r="F450" s="52">
        <f>6*6</f>
        <v>36</v>
      </c>
      <c r="G450" s="48">
        <v>0.1</v>
      </c>
      <c r="H450" s="41">
        <f t="shared" si="129"/>
        <v>39.6</v>
      </c>
      <c r="I450" s="37" t="s">
        <v>16</v>
      </c>
      <c r="J450" s="79">
        <f t="shared" si="130"/>
        <v>0</v>
      </c>
      <c r="K450" s="42">
        <f t="shared" si="131"/>
        <v>0</v>
      </c>
      <c r="L450" s="134"/>
      <c r="M450" s="154"/>
    </row>
    <row r="451" spans="1:13" s="15" customFormat="1" ht="47.25" x14ac:dyDescent="0.2">
      <c r="A451" s="36">
        <f>IF(F451&lt;&gt;"",1+MAX($A$1:A450),"")</f>
        <v>275</v>
      </c>
      <c r="B451" s="64" t="s">
        <v>82</v>
      </c>
      <c r="C451" s="64" t="s">
        <v>193</v>
      </c>
      <c r="D451" s="75"/>
      <c r="E451" s="46" t="s">
        <v>430</v>
      </c>
      <c r="F451" s="52">
        <f>4*9*6</f>
        <v>216</v>
      </c>
      <c r="G451" s="48">
        <v>0.1</v>
      </c>
      <c r="H451" s="41">
        <f t="shared" si="129"/>
        <v>237.60000000000002</v>
      </c>
      <c r="I451" s="37" t="s">
        <v>16</v>
      </c>
      <c r="J451" s="79">
        <f t="shared" si="130"/>
        <v>0</v>
      </c>
      <c r="K451" s="42">
        <f t="shared" si="131"/>
        <v>0</v>
      </c>
      <c r="L451" s="134"/>
      <c r="M451" s="154"/>
    </row>
    <row r="452" spans="1:13" s="15" customFormat="1" ht="47.25" x14ac:dyDescent="0.2">
      <c r="A452" s="36">
        <f>IF(F452&lt;&gt;"",1+MAX($A$1:A451),"")</f>
        <v>276</v>
      </c>
      <c r="B452" s="64" t="s">
        <v>82</v>
      </c>
      <c r="C452" s="64" t="s">
        <v>193</v>
      </c>
      <c r="D452" s="75"/>
      <c r="E452" s="46" t="s">
        <v>431</v>
      </c>
      <c r="F452" s="52">
        <f>2*3*2</f>
        <v>12</v>
      </c>
      <c r="G452" s="48">
        <v>0.1</v>
      </c>
      <c r="H452" s="41">
        <f t="shared" si="129"/>
        <v>13.200000000000001</v>
      </c>
      <c r="I452" s="37" t="s">
        <v>16</v>
      </c>
      <c r="J452" s="79">
        <f t="shared" si="130"/>
        <v>0</v>
      </c>
      <c r="K452" s="42">
        <f t="shared" si="131"/>
        <v>0</v>
      </c>
      <c r="L452" s="134"/>
      <c r="M452" s="154"/>
    </row>
    <row r="453" spans="1:13" s="15" customFormat="1" ht="283.5" x14ac:dyDescent="0.2">
      <c r="A453" s="36" t="str">
        <f>IF(F453&lt;&gt;"",1+MAX($A$1:A452),"")</f>
        <v/>
      </c>
      <c r="B453" s="64"/>
      <c r="C453" s="64"/>
      <c r="D453" s="75"/>
      <c r="E453" s="46" t="s">
        <v>432</v>
      </c>
      <c r="F453" s="52"/>
      <c r="G453" s="48"/>
      <c r="H453" s="48"/>
      <c r="I453" s="48"/>
      <c r="J453" s="48"/>
      <c r="K453" s="42"/>
      <c r="L453" s="134"/>
      <c r="M453" s="154"/>
    </row>
    <row r="454" spans="1:13" x14ac:dyDescent="0.2">
      <c r="A454" s="36" t="str">
        <f>IF(F454&lt;&gt;"",1+MAX($A$1:A453),"")</f>
        <v/>
      </c>
      <c r="B454" s="44"/>
      <c r="C454" s="44"/>
      <c r="D454" s="85"/>
      <c r="E454" s="57"/>
      <c r="F454" s="49"/>
      <c r="G454" s="87"/>
      <c r="H454" s="49"/>
      <c r="I454" s="38"/>
      <c r="J454" s="99"/>
      <c r="K454" s="95"/>
      <c r="L454" s="40"/>
      <c r="M454" s="153"/>
    </row>
    <row r="455" spans="1:13" x14ac:dyDescent="0.2">
      <c r="A455" s="36" t="str">
        <f>IF(F455&lt;&gt;"",1+MAX($A$1:A454),"")</f>
        <v/>
      </c>
      <c r="B455" s="44"/>
      <c r="C455" s="44"/>
      <c r="D455" s="44"/>
      <c r="E455" s="55" t="s">
        <v>196</v>
      </c>
      <c r="F455" s="47"/>
      <c r="G455" s="87"/>
      <c r="H455" s="49"/>
      <c r="I455" s="38"/>
      <c r="J455" s="79"/>
      <c r="K455" s="93"/>
      <c r="L455" s="133"/>
      <c r="M455" s="153"/>
    </row>
    <row r="456" spans="1:13" s="15" customFormat="1" ht="47.25" x14ac:dyDescent="0.2">
      <c r="A456" s="36">
        <f>IF(F456&lt;&gt;"",1+MAX($A$1:A455),"")</f>
        <v>277</v>
      </c>
      <c r="B456" s="64" t="s">
        <v>159</v>
      </c>
      <c r="C456" s="64" t="s">
        <v>197</v>
      </c>
      <c r="D456" s="75"/>
      <c r="E456" s="46" t="s">
        <v>198</v>
      </c>
      <c r="F456" s="52">
        <f>9*5.58</f>
        <v>50.22</v>
      </c>
      <c r="G456" s="48">
        <v>0.1</v>
      </c>
      <c r="H456" s="41">
        <f t="shared" ref="H456:H457" si="132">F456*(1+G456)</f>
        <v>55.242000000000004</v>
      </c>
      <c r="I456" s="37" t="s">
        <v>16</v>
      </c>
      <c r="J456" s="79">
        <f t="shared" ref="J456:J457" si="133">J$443</f>
        <v>0</v>
      </c>
      <c r="K456" s="42">
        <f t="shared" ref="K456:K457" si="134">J456*H456</f>
        <v>0</v>
      </c>
      <c r="L456" s="134"/>
      <c r="M456" s="154"/>
    </row>
    <row r="457" spans="1:13" s="15" customFormat="1" ht="31.5" x14ac:dyDescent="0.2">
      <c r="A457" s="36">
        <f>IF(F457&lt;&gt;"",1+MAX($A$1:A456),"")</f>
        <v>278</v>
      </c>
      <c r="B457" s="64" t="s">
        <v>159</v>
      </c>
      <c r="C457" s="64" t="s">
        <v>197</v>
      </c>
      <c r="D457" s="75"/>
      <c r="E457" s="46" t="s">
        <v>199</v>
      </c>
      <c r="F457" s="52">
        <f>3*7.5</f>
        <v>22.5</v>
      </c>
      <c r="G457" s="48">
        <v>0.1</v>
      </c>
      <c r="H457" s="41">
        <f t="shared" si="132"/>
        <v>24.750000000000004</v>
      </c>
      <c r="I457" s="37" t="s">
        <v>16</v>
      </c>
      <c r="J457" s="79">
        <f t="shared" si="133"/>
        <v>0</v>
      </c>
      <c r="K457" s="42">
        <f t="shared" si="134"/>
        <v>0</v>
      </c>
      <c r="L457" s="134"/>
      <c r="M457" s="154"/>
    </row>
    <row r="458" spans="1:13" s="15" customFormat="1" ht="189" x14ac:dyDescent="0.2">
      <c r="A458" s="36" t="str">
        <f>IF(F458&lt;&gt;"",1+MAX($A$1:A457),"")</f>
        <v/>
      </c>
      <c r="B458" s="64"/>
      <c r="C458" s="64"/>
      <c r="D458" s="75"/>
      <c r="E458" s="46" t="s">
        <v>433</v>
      </c>
      <c r="F458" s="52"/>
      <c r="G458" s="48"/>
      <c r="H458" s="48"/>
      <c r="I458" s="48"/>
      <c r="J458" s="48"/>
      <c r="K458" s="42"/>
      <c r="L458" s="134"/>
      <c r="M458" s="154"/>
    </row>
    <row r="459" spans="1:13" s="15" customFormat="1" ht="18.75" x14ac:dyDescent="0.2">
      <c r="A459" s="36" t="str">
        <f>IF(F459&lt;&gt;"",1+MAX($A$1:A458),"")</f>
        <v/>
      </c>
      <c r="B459" s="64"/>
      <c r="C459" s="64"/>
      <c r="D459" s="75"/>
      <c r="E459" s="46"/>
      <c r="F459" s="52"/>
      <c r="G459" s="48"/>
      <c r="H459" s="48"/>
      <c r="I459" s="48"/>
      <c r="J459" s="48"/>
      <c r="K459" s="42"/>
      <c r="L459" s="134"/>
      <c r="M459" s="154"/>
    </row>
    <row r="460" spans="1:13" x14ac:dyDescent="0.2">
      <c r="A460" s="36" t="str">
        <f>IF(F460&lt;&gt;"",1+MAX($A$1:A459),"")</f>
        <v/>
      </c>
      <c r="B460" s="44"/>
      <c r="C460" s="44"/>
      <c r="D460" s="44"/>
      <c r="E460" s="55" t="s">
        <v>195</v>
      </c>
      <c r="F460" s="47"/>
      <c r="G460" s="87"/>
      <c r="H460" s="49"/>
      <c r="I460" s="38"/>
      <c r="J460" s="79"/>
      <c r="K460" s="93"/>
      <c r="L460" s="133"/>
      <c r="M460" s="153"/>
    </row>
    <row r="461" spans="1:13" s="15" customFormat="1" ht="31.5" x14ac:dyDescent="0.2">
      <c r="A461" s="36">
        <f>IF(F461&lt;&gt;"",1+MAX($A$1:A460),"")</f>
        <v>279</v>
      </c>
      <c r="B461" s="64" t="s">
        <v>159</v>
      </c>
      <c r="C461" s="64"/>
      <c r="D461" s="75"/>
      <c r="E461" s="46" t="s">
        <v>415</v>
      </c>
      <c r="F461" s="52">
        <v>1</v>
      </c>
      <c r="G461" s="48">
        <v>0</v>
      </c>
      <c r="H461" s="41">
        <f t="shared" ref="H461" si="135">F461*(1+G461)</f>
        <v>1</v>
      </c>
      <c r="I461" s="37" t="s">
        <v>18</v>
      </c>
      <c r="J461" s="53">
        <v>0</v>
      </c>
      <c r="K461" s="42">
        <f t="shared" ref="K461" si="136">J461*H461</f>
        <v>0</v>
      </c>
      <c r="L461" s="134"/>
      <c r="M461" s="154"/>
    </row>
    <row r="462" spans="1:13" x14ac:dyDescent="0.2">
      <c r="A462" s="36" t="str">
        <f>IF(F462&lt;&gt;"",1+MAX($A$1:A461),"")</f>
        <v/>
      </c>
      <c r="B462" s="44"/>
      <c r="C462" s="44"/>
      <c r="D462" s="85"/>
      <c r="E462" s="57"/>
      <c r="F462" s="49"/>
      <c r="G462" s="87"/>
      <c r="H462" s="49"/>
      <c r="I462" s="38"/>
      <c r="J462" s="99"/>
      <c r="K462" s="95"/>
      <c r="L462" s="40"/>
      <c r="M462" s="153"/>
    </row>
    <row r="463" spans="1:13" x14ac:dyDescent="0.2">
      <c r="A463" s="36" t="str">
        <f>IF(F463&lt;&gt;"",1+MAX($A$1:A462),"")</f>
        <v/>
      </c>
      <c r="B463" s="44"/>
      <c r="C463" s="44"/>
      <c r="D463" s="44"/>
      <c r="E463" s="55" t="s">
        <v>200</v>
      </c>
      <c r="F463" s="47"/>
      <c r="G463" s="87"/>
      <c r="H463" s="49"/>
      <c r="I463" s="38"/>
      <c r="J463" s="79"/>
      <c r="K463" s="93"/>
      <c r="L463" s="133"/>
      <c r="M463" s="153"/>
    </row>
    <row r="464" spans="1:13" s="15" customFormat="1" ht="189" x14ac:dyDescent="0.2">
      <c r="A464" s="36">
        <f>IF(F464&lt;&gt;"",1+MAX($A$1:A463),"")</f>
        <v>280</v>
      </c>
      <c r="B464" s="64" t="s">
        <v>201</v>
      </c>
      <c r="C464" s="64" t="s">
        <v>201</v>
      </c>
      <c r="D464" s="75"/>
      <c r="E464" s="46" t="s">
        <v>202</v>
      </c>
      <c r="F464" s="52">
        <v>1</v>
      </c>
      <c r="G464" s="48">
        <v>0</v>
      </c>
      <c r="H464" s="41">
        <f t="shared" ref="H464:H477" si="137">F464*(1+G464)</f>
        <v>1</v>
      </c>
      <c r="I464" s="37" t="s">
        <v>18</v>
      </c>
      <c r="J464" s="98"/>
      <c r="K464" s="42"/>
      <c r="L464" s="134"/>
      <c r="M464" s="154"/>
    </row>
    <row r="465" spans="1:13" s="15" customFormat="1" ht="173.25" x14ac:dyDescent="0.2">
      <c r="A465" s="36">
        <f>IF(F465&lt;&gt;"",1+MAX($A$1:A464),"")</f>
        <v>281</v>
      </c>
      <c r="B465" s="64" t="s">
        <v>201</v>
      </c>
      <c r="C465" s="64" t="s">
        <v>201</v>
      </c>
      <c r="D465" s="75"/>
      <c r="E465" s="46" t="s">
        <v>203</v>
      </c>
      <c r="F465" s="52">
        <v>1</v>
      </c>
      <c r="G465" s="48">
        <v>0</v>
      </c>
      <c r="H465" s="41">
        <f t="shared" si="137"/>
        <v>1</v>
      </c>
      <c r="I465" s="37" t="s">
        <v>18</v>
      </c>
      <c r="J465" s="98"/>
      <c r="K465" s="42"/>
      <c r="L465" s="134"/>
      <c r="M465" s="154"/>
    </row>
    <row r="466" spans="1:13" s="15" customFormat="1" ht="141.75" x14ac:dyDescent="0.2">
      <c r="A466" s="36">
        <f>IF(F466&lt;&gt;"",1+MAX($A$1:A465),"")</f>
        <v>282</v>
      </c>
      <c r="B466" s="64" t="s">
        <v>201</v>
      </c>
      <c r="C466" s="64" t="s">
        <v>201</v>
      </c>
      <c r="D466" s="75"/>
      <c r="E466" s="46" t="s">
        <v>204</v>
      </c>
      <c r="F466" s="52">
        <v>1</v>
      </c>
      <c r="G466" s="48">
        <v>0</v>
      </c>
      <c r="H466" s="41">
        <f t="shared" si="137"/>
        <v>1</v>
      </c>
      <c r="I466" s="37" t="s">
        <v>18</v>
      </c>
      <c r="J466" s="98"/>
      <c r="K466" s="42"/>
      <c r="L466" s="134"/>
      <c r="M466" s="154"/>
    </row>
    <row r="467" spans="1:13" s="15" customFormat="1" ht="157.5" x14ac:dyDescent="0.2">
      <c r="A467" s="36">
        <f>IF(F467&lt;&gt;"",1+MAX($A$1:A466),"")</f>
        <v>283</v>
      </c>
      <c r="B467" s="64" t="s">
        <v>201</v>
      </c>
      <c r="C467" s="64" t="s">
        <v>201</v>
      </c>
      <c r="D467" s="75"/>
      <c r="E467" s="46" t="s">
        <v>205</v>
      </c>
      <c r="F467" s="52">
        <f>2+2</f>
        <v>4</v>
      </c>
      <c r="G467" s="48">
        <v>0</v>
      </c>
      <c r="H467" s="41">
        <f t="shared" si="137"/>
        <v>4</v>
      </c>
      <c r="I467" s="37" t="s">
        <v>18</v>
      </c>
      <c r="J467" s="98"/>
      <c r="K467" s="42"/>
      <c r="L467" s="134"/>
      <c r="M467" s="154"/>
    </row>
    <row r="468" spans="1:13" s="15" customFormat="1" ht="173.25" x14ac:dyDescent="0.2">
      <c r="A468" s="36">
        <f>IF(F468&lt;&gt;"",1+MAX($A$1:A467),"")</f>
        <v>284</v>
      </c>
      <c r="B468" s="64" t="s">
        <v>201</v>
      </c>
      <c r="C468" s="64" t="s">
        <v>201</v>
      </c>
      <c r="D468" s="75"/>
      <c r="E468" s="46" t="s">
        <v>206</v>
      </c>
      <c r="F468" s="52">
        <f>1+1</f>
        <v>2</v>
      </c>
      <c r="G468" s="48">
        <v>0</v>
      </c>
      <c r="H468" s="41">
        <f t="shared" si="137"/>
        <v>2</v>
      </c>
      <c r="I468" s="37" t="s">
        <v>18</v>
      </c>
      <c r="J468" s="98"/>
      <c r="K468" s="42"/>
      <c r="L468" s="134"/>
      <c r="M468" s="154"/>
    </row>
    <row r="469" spans="1:13" s="15" customFormat="1" ht="157.5" x14ac:dyDescent="0.2">
      <c r="A469" s="36">
        <f>IF(F469&lt;&gt;"",1+MAX($A$1:A468),"")</f>
        <v>285</v>
      </c>
      <c r="B469" s="64" t="s">
        <v>201</v>
      </c>
      <c r="C469" s="64" t="s">
        <v>201</v>
      </c>
      <c r="D469" s="75"/>
      <c r="E469" s="46" t="s">
        <v>207</v>
      </c>
      <c r="F469" s="52">
        <v>1</v>
      </c>
      <c r="G469" s="48">
        <v>0</v>
      </c>
      <c r="H469" s="41">
        <f t="shared" si="137"/>
        <v>1</v>
      </c>
      <c r="I469" s="37" t="s">
        <v>18</v>
      </c>
      <c r="J469" s="98"/>
      <c r="K469" s="42"/>
      <c r="L469" s="134"/>
      <c r="M469" s="154"/>
    </row>
    <row r="470" spans="1:13" s="15" customFormat="1" ht="204.75" x14ac:dyDescent="0.2">
      <c r="A470" s="36">
        <f>IF(F470&lt;&gt;"",1+MAX($A$1:A469),"")</f>
        <v>286</v>
      </c>
      <c r="B470" s="64" t="s">
        <v>201</v>
      </c>
      <c r="C470" s="64" t="s">
        <v>201</v>
      </c>
      <c r="D470" s="75"/>
      <c r="E470" s="46" t="s">
        <v>208</v>
      </c>
      <c r="F470" s="52">
        <v>1</v>
      </c>
      <c r="G470" s="48">
        <v>0</v>
      </c>
      <c r="H470" s="41">
        <f t="shared" si="137"/>
        <v>1</v>
      </c>
      <c r="I470" s="37" t="s">
        <v>18</v>
      </c>
      <c r="J470" s="98"/>
      <c r="K470" s="42"/>
      <c r="L470" s="134"/>
      <c r="M470" s="154"/>
    </row>
    <row r="471" spans="1:13" s="15" customFormat="1" ht="157.5" x14ac:dyDescent="0.2">
      <c r="A471" s="36">
        <f>IF(F471&lt;&gt;"",1+MAX($A$1:A470),"")</f>
        <v>287</v>
      </c>
      <c r="B471" s="64" t="s">
        <v>201</v>
      </c>
      <c r="C471" s="64" t="s">
        <v>201</v>
      </c>
      <c r="D471" s="75"/>
      <c r="E471" s="46" t="s">
        <v>209</v>
      </c>
      <c r="F471" s="52">
        <f>2+1+2</f>
        <v>5</v>
      </c>
      <c r="G471" s="48">
        <v>0</v>
      </c>
      <c r="H471" s="41">
        <f t="shared" si="137"/>
        <v>5</v>
      </c>
      <c r="I471" s="37" t="s">
        <v>18</v>
      </c>
      <c r="J471" s="98"/>
      <c r="K471" s="42"/>
      <c r="L471" s="134"/>
      <c r="M471" s="154"/>
    </row>
    <row r="472" spans="1:13" s="15" customFormat="1" ht="173.25" x14ac:dyDescent="0.2">
      <c r="A472" s="36">
        <f>IF(F472&lt;&gt;"",1+MAX($A$1:A471),"")</f>
        <v>288</v>
      </c>
      <c r="B472" s="64" t="s">
        <v>201</v>
      </c>
      <c r="C472" s="64" t="s">
        <v>201</v>
      </c>
      <c r="D472" s="75"/>
      <c r="E472" s="46" t="s">
        <v>210</v>
      </c>
      <c r="F472" s="52">
        <v>8</v>
      </c>
      <c r="G472" s="48">
        <v>0</v>
      </c>
      <c r="H472" s="41">
        <f t="shared" si="137"/>
        <v>8</v>
      </c>
      <c r="I472" s="37" t="s">
        <v>18</v>
      </c>
      <c r="J472" s="98"/>
      <c r="K472" s="42"/>
      <c r="L472" s="134"/>
      <c r="M472" s="154"/>
    </row>
    <row r="473" spans="1:13" s="15" customFormat="1" ht="94.5" x14ac:dyDescent="0.2">
      <c r="A473" s="36">
        <f>IF(F473&lt;&gt;"",1+MAX($A$1:A472),"")</f>
        <v>289</v>
      </c>
      <c r="B473" s="64" t="s">
        <v>201</v>
      </c>
      <c r="C473" s="64" t="s">
        <v>201</v>
      </c>
      <c r="D473" s="75"/>
      <c r="E473" s="46" t="s">
        <v>211</v>
      </c>
      <c r="F473" s="52">
        <v>24</v>
      </c>
      <c r="G473" s="48">
        <v>0</v>
      </c>
      <c r="H473" s="41">
        <f t="shared" si="137"/>
        <v>24</v>
      </c>
      <c r="I473" s="37" t="s">
        <v>18</v>
      </c>
      <c r="J473" s="98"/>
      <c r="K473" s="42"/>
      <c r="L473" s="134"/>
      <c r="M473" s="154"/>
    </row>
    <row r="474" spans="1:13" s="15" customFormat="1" ht="94.5" x14ac:dyDescent="0.2">
      <c r="A474" s="36">
        <f>IF(F474&lt;&gt;"",1+MAX($A$1:A473),"")</f>
        <v>290</v>
      </c>
      <c r="B474" s="64" t="s">
        <v>201</v>
      </c>
      <c r="C474" s="64" t="s">
        <v>201</v>
      </c>
      <c r="D474" s="75"/>
      <c r="E474" s="46" t="s">
        <v>212</v>
      </c>
      <c r="F474" s="52">
        <v>12</v>
      </c>
      <c r="G474" s="48">
        <v>0</v>
      </c>
      <c r="H474" s="41">
        <f t="shared" si="137"/>
        <v>12</v>
      </c>
      <c r="I474" s="37" t="s">
        <v>18</v>
      </c>
      <c r="J474" s="98"/>
      <c r="K474" s="42"/>
      <c r="L474" s="134"/>
      <c r="M474" s="154"/>
    </row>
    <row r="475" spans="1:13" s="15" customFormat="1" ht="78.75" x14ac:dyDescent="0.2">
      <c r="A475" s="36">
        <f>IF(F475&lt;&gt;"",1+MAX($A$1:A474),"")</f>
        <v>291</v>
      </c>
      <c r="B475" s="64" t="s">
        <v>201</v>
      </c>
      <c r="C475" s="64" t="s">
        <v>201</v>
      </c>
      <c r="D475" s="75"/>
      <c r="E475" s="46" t="s">
        <v>213</v>
      </c>
      <c r="F475" s="52">
        <v>8</v>
      </c>
      <c r="G475" s="48">
        <v>0</v>
      </c>
      <c r="H475" s="41">
        <f t="shared" si="137"/>
        <v>8</v>
      </c>
      <c r="I475" s="37" t="s">
        <v>18</v>
      </c>
      <c r="J475" s="98"/>
      <c r="K475" s="42"/>
      <c r="L475" s="134"/>
      <c r="M475" s="154"/>
    </row>
    <row r="476" spans="1:13" s="15" customFormat="1" ht="47.25" x14ac:dyDescent="0.2">
      <c r="A476" s="36">
        <f>IF(F476&lt;&gt;"",1+MAX($A$1:A475),"")</f>
        <v>292</v>
      </c>
      <c r="B476" s="64" t="s">
        <v>201</v>
      </c>
      <c r="C476" s="64" t="s">
        <v>201</v>
      </c>
      <c r="D476" s="75"/>
      <c r="E476" s="46" t="s">
        <v>214</v>
      </c>
      <c r="F476" s="52">
        <v>8</v>
      </c>
      <c r="G476" s="48">
        <v>0</v>
      </c>
      <c r="H476" s="41">
        <f t="shared" si="137"/>
        <v>8</v>
      </c>
      <c r="I476" s="37" t="s">
        <v>18</v>
      </c>
      <c r="J476" s="98"/>
      <c r="K476" s="42"/>
      <c r="L476" s="134"/>
      <c r="M476" s="154"/>
    </row>
    <row r="477" spans="1:13" s="15" customFormat="1" ht="78.75" x14ac:dyDescent="0.2">
      <c r="A477" s="36">
        <f>IF(F477&lt;&gt;"",1+MAX($A$1:A476),"")</f>
        <v>293</v>
      </c>
      <c r="B477" s="64" t="s">
        <v>201</v>
      </c>
      <c r="C477" s="64" t="s">
        <v>201</v>
      </c>
      <c r="D477" s="75"/>
      <c r="E477" s="46" t="s">
        <v>215</v>
      </c>
      <c r="F477" s="52">
        <v>1</v>
      </c>
      <c r="G477" s="48">
        <v>0</v>
      </c>
      <c r="H477" s="41">
        <f t="shared" si="137"/>
        <v>1</v>
      </c>
      <c r="I477" s="37" t="s">
        <v>18</v>
      </c>
      <c r="J477" s="98"/>
      <c r="K477" s="42"/>
      <c r="L477" s="134"/>
      <c r="M477" s="154"/>
    </row>
    <row r="478" spans="1:13" ht="31.5" x14ac:dyDescent="0.2">
      <c r="A478" s="36" t="str">
        <f>IF(F478&lt;&gt;"",1+MAX($A$1:A477),"")</f>
        <v/>
      </c>
      <c r="B478" s="44"/>
      <c r="C478" s="44"/>
      <c r="D478" s="85"/>
      <c r="E478" s="100" t="s">
        <v>347</v>
      </c>
      <c r="F478" s="49"/>
      <c r="G478" s="87"/>
      <c r="H478" s="49"/>
      <c r="I478" s="38"/>
      <c r="J478" s="99"/>
      <c r="K478" s="95"/>
      <c r="L478" s="40"/>
      <c r="M478" s="153"/>
    </row>
    <row r="479" spans="1:13" x14ac:dyDescent="0.2">
      <c r="A479" s="36" t="str">
        <f>IF(F479&lt;&gt;"",1+MAX($A$1:A478),"")</f>
        <v/>
      </c>
      <c r="B479" s="44"/>
      <c r="C479" s="44"/>
      <c r="D479" s="85"/>
      <c r="E479" s="55" t="s">
        <v>216</v>
      </c>
      <c r="F479" s="47"/>
      <c r="G479" s="87"/>
      <c r="H479" s="49"/>
      <c r="I479" s="38"/>
      <c r="J479" s="99"/>
      <c r="K479" s="56"/>
      <c r="L479" s="56">
        <f>SUM(K427:K478)</f>
        <v>0</v>
      </c>
      <c r="M479" s="153"/>
    </row>
    <row r="480" spans="1:13" s="6" customFormat="1" x14ac:dyDescent="0.2">
      <c r="A480" s="36" t="str">
        <f>IF(F480&lt;&gt;"",1+MAX($A$1:A479),"")</f>
        <v/>
      </c>
      <c r="B480" s="44"/>
      <c r="C480" s="44"/>
      <c r="D480" s="44"/>
      <c r="E480" s="24"/>
      <c r="F480" s="47"/>
      <c r="G480" s="87"/>
      <c r="H480" s="49"/>
      <c r="I480" s="38"/>
      <c r="J480" s="79"/>
      <c r="K480" s="95"/>
      <c r="L480" s="133"/>
      <c r="M480" s="151"/>
    </row>
    <row r="481" spans="1:13" s="6" customFormat="1" x14ac:dyDescent="0.2">
      <c r="A481" s="36" t="str">
        <f>IF(F481&lt;&gt;"",1+MAX($A$1:A480),"")</f>
        <v/>
      </c>
      <c r="B481" s="58"/>
      <c r="C481" s="59"/>
      <c r="D481" s="59" t="s">
        <v>19</v>
      </c>
      <c r="E481" s="60" t="s">
        <v>20</v>
      </c>
      <c r="F481" s="47"/>
      <c r="G481" s="40"/>
      <c r="H481" s="40"/>
      <c r="I481" s="40"/>
      <c r="J481" s="61"/>
      <c r="K481" s="40"/>
      <c r="L481" s="43"/>
      <c r="M481" s="151"/>
    </row>
    <row r="482" spans="1:13" x14ac:dyDescent="0.2">
      <c r="A482" s="36" t="str">
        <f>IF(F482&lt;&gt;"",1+MAX($A$1:A481),"")</f>
        <v/>
      </c>
      <c r="B482" s="44"/>
      <c r="C482" s="38"/>
      <c r="D482" s="44"/>
      <c r="E482" s="55" t="s">
        <v>29</v>
      </c>
      <c r="F482" s="47"/>
      <c r="G482" s="87"/>
      <c r="H482" s="49"/>
      <c r="I482" s="38"/>
      <c r="J482" s="79"/>
      <c r="K482" s="93"/>
      <c r="L482" s="43"/>
      <c r="M482" s="153"/>
    </row>
    <row r="483" spans="1:13" s="13" customFormat="1" x14ac:dyDescent="0.2">
      <c r="A483" s="36" t="str">
        <f>IF(F483&lt;&gt;"",1+MAX($A$1:A482),"")</f>
        <v/>
      </c>
      <c r="B483" s="44"/>
      <c r="C483" s="38"/>
      <c r="D483" s="85"/>
      <c r="E483" s="86" t="s">
        <v>133</v>
      </c>
      <c r="F483" s="47"/>
      <c r="G483" s="87"/>
      <c r="H483" s="49"/>
      <c r="I483" s="38"/>
      <c r="J483" s="53"/>
      <c r="K483" s="51"/>
      <c r="L483" s="43"/>
      <c r="M483" s="150"/>
    </row>
    <row r="484" spans="1:13" s="13" customFormat="1" x14ac:dyDescent="0.2">
      <c r="A484" s="36" t="str">
        <f>IF(F484&lt;&gt;"",1+MAX($A$1:A483),"")</f>
        <v/>
      </c>
      <c r="B484" s="44"/>
      <c r="C484" s="38"/>
      <c r="D484" s="85"/>
      <c r="E484" s="88" t="s">
        <v>86</v>
      </c>
      <c r="F484" s="47"/>
      <c r="G484" s="87"/>
      <c r="H484" s="49"/>
      <c r="I484" s="38"/>
      <c r="J484" s="53"/>
      <c r="K484" s="51"/>
      <c r="L484" s="43"/>
      <c r="M484" s="150"/>
    </row>
    <row r="485" spans="1:13" s="13" customFormat="1" x14ac:dyDescent="0.2">
      <c r="A485" s="36">
        <f>IF(F485&lt;&gt;"",1+MAX($A$1:A484),"")</f>
        <v>294</v>
      </c>
      <c r="B485" s="44" t="s">
        <v>82</v>
      </c>
      <c r="C485" s="38" t="s">
        <v>89</v>
      </c>
      <c r="D485" s="89"/>
      <c r="E485" s="24" t="s">
        <v>85</v>
      </c>
      <c r="F485" s="47">
        <f>12.8*10*2</f>
        <v>256</v>
      </c>
      <c r="G485" s="48">
        <v>0.1</v>
      </c>
      <c r="H485" s="49">
        <f>F485*(1+G485)</f>
        <v>281.60000000000002</v>
      </c>
      <c r="I485" s="38" t="s">
        <v>16</v>
      </c>
      <c r="J485" s="53">
        <v>0</v>
      </c>
      <c r="K485" s="51">
        <f>J485*H485</f>
        <v>0</v>
      </c>
      <c r="L485" s="43"/>
      <c r="M485" s="150"/>
    </row>
    <row r="486" spans="1:13" s="13" customFormat="1" x14ac:dyDescent="0.2">
      <c r="A486" s="36" t="str">
        <f>IF(F486&lt;&gt;"",1+MAX($A$1:A485),"")</f>
        <v/>
      </c>
      <c r="B486" s="44"/>
      <c r="C486" s="38"/>
      <c r="D486" s="85"/>
      <c r="E486" s="90" t="s">
        <v>21</v>
      </c>
      <c r="F486" s="91"/>
      <c r="G486" s="92"/>
      <c r="H486" s="49">
        <f>ROUNDUP((H485)/32,0)</f>
        <v>9</v>
      </c>
      <c r="I486" s="38" t="s">
        <v>22</v>
      </c>
      <c r="J486" s="53"/>
      <c r="K486" s="51"/>
      <c r="L486" s="43"/>
      <c r="M486" s="150"/>
    </row>
    <row r="487" spans="1:13" s="13" customFormat="1" x14ac:dyDescent="0.2">
      <c r="A487" s="36" t="str">
        <f>IF(F487&lt;&gt;"",1+MAX($A$1:A486),"")</f>
        <v/>
      </c>
      <c r="B487" s="44"/>
      <c r="C487" s="38"/>
      <c r="D487" s="85"/>
      <c r="E487" s="90" t="s">
        <v>23</v>
      </c>
      <c r="F487" s="91"/>
      <c r="G487" s="92"/>
      <c r="H487" s="49">
        <f>ROUNDUP(H486*24/500,0)</f>
        <v>1</v>
      </c>
      <c r="I487" s="38" t="s">
        <v>24</v>
      </c>
      <c r="J487" s="53"/>
      <c r="K487" s="51"/>
      <c r="L487" s="43"/>
      <c r="M487" s="150"/>
    </row>
    <row r="488" spans="1:13" s="13" customFormat="1" x14ac:dyDescent="0.2">
      <c r="A488" s="36" t="str">
        <f>IF(F488&lt;&gt;"",1+MAX($A$1:A487),"")</f>
        <v/>
      </c>
      <c r="B488" s="44"/>
      <c r="C488" s="38"/>
      <c r="D488" s="85"/>
      <c r="E488" s="90" t="s">
        <v>25</v>
      </c>
      <c r="F488" s="91"/>
      <c r="G488" s="92"/>
      <c r="H488" s="101">
        <f>ROUNDUP((H485)/200,0)</f>
        <v>2</v>
      </c>
      <c r="I488" s="38" t="s">
        <v>26</v>
      </c>
      <c r="J488" s="53"/>
      <c r="K488" s="51"/>
      <c r="L488" s="43"/>
      <c r="M488" s="150"/>
    </row>
    <row r="489" spans="1:13" s="13" customFormat="1" x14ac:dyDescent="0.2">
      <c r="A489" s="36" t="str">
        <f>IF(F489&lt;&gt;"",1+MAX($A$1:A488),"")</f>
        <v/>
      </c>
      <c r="B489" s="44"/>
      <c r="C489" s="38"/>
      <c r="D489" s="85"/>
      <c r="E489" s="90" t="s">
        <v>27</v>
      </c>
      <c r="F489" s="91"/>
      <c r="G489" s="92"/>
      <c r="H489" s="101">
        <f>ROUNDUP((H485)*5.25/1000,0)</f>
        <v>2</v>
      </c>
      <c r="I489" s="38" t="s">
        <v>28</v>
      </c>
      <c r="J489" s="53"/>
      <c r="K489" s="51"/>
      <c r="L489" s="43"/>
      <c r="M489" s="150"/>
    </row>
    <row r="490" spans="1:13" s="13" customFormat="1" x14ac:dyDescent="0.2">
      <c r="A490" s="36">
        <f>IF(F490&lt;&gt;"",1+MAX($A$1:A489),"")</f>
        <v>295</v>
      </c>
      <c r="B490" s="44" t="s">
        <v>82</v>
      </c>
      <c r="C490" s="38" t="s">
        <v>89</v>
      </c>
      <c r="D490" s="85"/>
      <c r="E490" s="24" t="s">
        <v>88</v>
      </c>
      <c r="F490" s="47">
        <f>12.8*4</f>
        <v>51.2</v>
      </c>
      <c r="G490" s="48">
        <v>0.1</v>
      </c>
      <c r="H490" s="49">
        <f t="shared" ref="H490:H491" si="138">F490*(1+G490)</f>
        <v>56.320000000000007</v>
      </c>
      <c r="I490" s="38" t="s">
        <v>13</v>
      </c>
      <c r="J490" s="53">
        <v>0</v>
      </c>
      <c r="K490" s="51">
        <f t="shared" ref="K490:K491" si="139">J490*H490</f>
        <v>0</v>
      </c>
      <c r="L490" s="43"/>
      <c r="M490" s="150"/>
    </row>
    <row r="491" spans="1:13" s="13" customFormat="1" x14ac:dyDescent="0.2">
      <c r="A491" s="36">
        <f>IF(F491&lt;&gt;"",1+MAX($A$1:A490),"")</f>
        <v>296</v>
      </c>
      <c r="B491" s="44" t="s">
        <v>82</v>
      </c>
      <c r="C491" s="38" t="s">
        <v>89</v>
      </c>
      <c r="D491" s="85"/>
      <c r="E491" s="24" t="s">
        <v>93</v>
      </c>
      <c r="F491" s="47">
        <f>12.8*10</f>
        <v>128</v>
      </c>
      <c r="G491" s="48">
        <v>0.1</v>
      </c>
      <c r="H491" s="49">
        <f t="shared" si="138"/>
        <v>140.80000000000001</v>
      </c>
      <c r="I491" s="38" t="s">
        <v>16</v>
      </c>
      <c r="J491" s="53">
        <v>0</v>
      </c>
      <c r="K491" s="51">
        <f t="shared" si="139"/>
        <v>0</v>
      </c>
      <c r="L491" s="43"/>
      <c r="M491" s="150"/>
    </row>
    <row r="492" spans="1:13" s="13" customFormat="1" x14ac:dyDescent="0.2">
      <c r="A492" s="36" t="str">
        <f>IF(F492&lt;&gt;"",1+MAX($A$1:A491),"")</f>
        <v/>
      </c>
      <c r="B492" s="44"/>
      <c r="C492" s="38"/>
      <c r="D492" s="85"/>
      <c r="E492" s="90"/>
      <c r="F492" s="91"/>
      <c r="G492" s="92"/>
      <c r="H492" s="49"/>
      <c r="I492" s="38"/>
      <c r="J492" s="53"/>
      <c r="K492" s="51"/>
      <c r="L492" s="43"/>
      <c r="M492" s="150"/>
    </row>
    <row r="493" spans="1:13" s="13" customFormat="1" x14ac:dyDescent="0.2">
      <c r="A493" s="36" t="str">
        <f>IF(F493&lt;&gt;"",1+MAX($A$1:A492),"")</f>
        <v/>
      </c>
      <c r="B493" s="44"/>
      <c r="C493" s="38"/>
      <c r="D493" s="85"/>
      <c r="E493" s="88" t="s">
        <v>116</v>
      </c>
      <c r="F493" s="47"/>
      <c r="G493" s="87"/>
      <c r="H493" s="49"/>
      <c r="I493" s="38"/>
      <c r="J493" s="53"/>
      <c r="K493" s="51"/>
      <c r="L493" s="43"/>
      <c r="M493" s="150"/>
    </row>
    <row r="494" spans="1:13" s="13" customFormat="1" x14ac:dyDescent="0.2">
      <c r="A494" s="36">
        <f>IF(F494&lt;&gt;"",1+MAX($A$1:A493),"")</f>
        <v>297</v>
      </c>
      <c r="B494" s="44" t="s">
        <v>82</v>
      </c>
      <c r="C494" s="38" t="s">
        <v>89</v>
      </c>
      <c r="D494" s="89"/>
      <c r="E494" s="24" t="s">
        <v>91</v>
      </c>
      <c r="F494" s="47">
        <f>5.3*13</f>
        <v>68.899999999999991</v>
      </c>
      <c r="G494" s="48">
        <v>0.1</v>
      </c>
      <c r="H494" s="49">
        <f>F494*(1+G494)</f>
        <v>75.789999999999992</v>
      </c>
      <c r="I494" s="38" t="s">
        <v>16</v>
      </c>
      <c r="J494" s="53">
        <f>J$485</f>
        <v>0</v>
      </c>
      <c r="K494" s="51">
        <f>J494*H494</f>
        <v>0</v>
      </c>
      <c r="L494" s="43"/>
      <c r="M494" s="150"/>
    </row>
    <row r="495" spans="1:13" s="13" customFormat="1" x14ac:dyDescent="0.2">
      <c r="A495" s="36" t="str">
        <f>IF(F495&lt;&gt;"",1+MAX($A$1:A494),"")</f>
        <v/>
      </c>
      <c r="B495" s="44"/>
      <c r="C495" s="38"/>
      <c r="D495" s="85"/>
      <c r="E495" s="90" t="s">
        <v>21</v>
      </c>
      <c r="F495" s="91"/>
      <c r="G495" s="92"/>
      <c r="H495" s="49">
        <f>ROUNDUP((H494)/32,0)</f>
        <v>3</v>
      </c>
      <c r="I495" s="38" t="s">
        <v>22</v>
      </c>
      <c r="J495" s="53"/>
      <c r="K495" s="51"/>
      <c r="L495" s="43"/>
      <c r="M495" s="150"/>
    </row>
    <row r="496" spans="1:13" s="13" customFormat="1" x14ac:dyDescent="0.2">
      <c r="A496" s="36" t="str">
        <f>IF(F496&lt;&gt;"",1+MAX($A$1:A495),"")</f>
        <v/>
      </c>
      <c r="B496" s="44"/>
      <c r="C496" s="38"/>
      <c r="D496" s="85"/>
      <c r="E496" s="90" t="s">
        <v>23</v>
      </c>
      <c r="F496" s="91"/>
      <c r="G496" s="92"/>
      <c r="H496" s="49">
        <f>ROUNDUP(H495*24/500,0)</f>
        <v>1</v>
      </c>
      <c r="I496" s="38" t="s">
        <v>24</v>
      </c>
      <c r="J496" s="53"/>
      <c r="K496" s="51"/>
      <c r="L496" s="43"/>
      <c r="M496" s="150"/>
    </row>
    <row r="497" spans="1:13" s="13" customFormat="1" x14ac:dyDescent="0.2">
      <c r="A497" s="36" t="str">
        <f>IF(F497&lt;&gt;"",1+MAX($A$1:A496),"")</f>
        <v/>
      </c>
      <c r="B497" s="44"/>
      <c r="C497" s="38"/>
      <c r="D497" s="85"/>
      <c r="E497" s="90" t="s">
        <v>25</v>
      </c>
      <c r="F497" s="91"/>
      <c r="G497" s="92"/>
      <c r="H497" s="101">
        <f>ROUNDUP((H494)/200,0)</f>
        <v>1</v>
      </c>
      <c r="I497" s="38" t="s">
        <v>26</v>
      </c>
      <c r="J497" s="53"/>
      <c r="K497" s="51"/>
      <c r="L497" s="43"/>
      <c r="M497" s="150"/>
    </row>
    <row r="498" spans="1:13" s="13" customFormat="1" x14ac:dyDescent="0.2">
      <c r="A498" s="36" t="str">
        <f>IF(F498&lt;&gt;"",1+MAX($A$1:A497),"")</f>
        <v/>
      </c>
      <c r="B498" s="44"/>
      <c r="C498" s="38"/>
      <c r="D498" s="85"/>
      <c r="E498" s="90" t="s">
        <v>27</v>
      </c>
      <c r="F498" s="91"/>
      <c r="G498" s="92"/>
      <c r="H498" s="101">
        <f>ROUNDUP((H494)*5.25/1000,0)</f>
        <v>1</v>
      </c>
      <c r="I498" s="38" t="s">
        <v>28</v>
      </c>
      <c r="J498" s="53"/>
      <c r="K498" s="51"/>
      <c r="L498" s="43"/>
      <c r="M498" s="150"/>
    </row>
    <row r="499" spans="1:13" s="13" customFormat="1" x14ac:dyDescent="0.2">
      <c r="A499" s="36">
        <f>IF(F499&lt;&gt;"",1+MAX($A$1:A498),"")</f>
        <v>298</v>
      </c>
      <c r="B499" s="44" t="s">
        <v>82</v>
      </c>
      <c r="C499" s="38" t="s">
        <v>89</v>
      </c>
      <c r="D499" s="85"/>
      <c r="E499" s="24" t="s">
        <v>88</v>
      </c>
      <c r="F499" s="47">
        <f>5.3*2</f>
        <v>10.6</v>
      </c>
      <c r="G499" s="48">
        <v>0.1</v>
      </c>
      <c r="H499" s="49">
        <f t="shared" ref="H499:H500" si="140">F499*(1+G499)</f>
        <v>11.66</v>
      </c>
      <c r="I499" s="38" t="s">
        <v>13</v>
      </c>
      <c r="J499" s="53">
        <f>J$490</f>
        <v>0</v>
      </c>
      <c r="K499" s="51">
        <f t="shared" ref="K499:K500" si="141">J499*H499</f>
        <v>0</v>
      </c>
      <c r="L499" s="43"/>
      <c r="M499" s="150"/>
    </row>
    <row r="500" spans="1:13" s="13" customFormat="1" x14ac:dyDescent="0.2">
      <c r="A500" s="36">
        <f>IF(F500&lt;&gt;"",1+MAX($A$1:A499),"")</f>
        <v>299</v>
      </c>
      <c r="B500" s="44" t="s">
        <v>82</v>
      </c>
      <c r="C500" s="38" t="s">
        <v>89</v>
      </c>
      <c r="D500" s="85"/>
      <c r="E500" s="24" t="s">
        <v>117</v>
      </c>
      <c r="F500" s="47">
        <f t="shared" ref="F500" si="142">5.3*13</f>
        <v>68.899999999999991</v>
      </c>
      <c r="G500" s="48">
        <v>0.1</v>
      </c>
      <c r="H500" s="49">
        <f t="shared" si="140"/>
        <v>75.789999999999992</v>
      </c>
      <c r="I500" s="38" t="s">
        <v>16</v>
      </c>
      <c r="J500" s="53">
        <v>0</v>
      </c>
      <c r="K500" s="51">
        <f t="shared" si="141"/>
        <v>0</v>
      </c>
      <c r="L500" s="43"/>
      <c r="M500" s="150"/>
    </row>
    <row r="501" spans="1:13" s="13" customFormat="1" x14ac:dyDescent="0.2">
      <c r="A501" s="36" t="str">
        <f>IF(F501&lt;&gt;"",1+MAX($A$1:A500),"")</f>
        <v/>
      </c>
      <c r="B501" s="44"/>
      <c r="C501" s="38"/>
      <c r="D501" s="85"/>
      <c r="E501" s="90"/>
      <c r="F501" s="91"/>
      <c r="G501" s="92"/>
      <c r="H501" s="49"/>
      <c r="I501" s="38"/>
      <c r="J501" s="53"/>
      <c r="K501" s="51"/>
      <c r="L501" s="43"/>
      <c r="M501" s="150"/>
    </row>
    <row r="502" spans="1:13" s="13" customFormat="1" x14ac:dyDescent="0.2">
      <c r="A502" s="36" t="str">
        <f>IF(F502&lt;&gt;"",1+MAX($A$1:A501),"")</f>
        <v/>
      </c>
      <c r="B502" s="44"/>
      <c r="C502" s="38"/>
      <c r="D502" s="85"/>
      <c r="E502" s="88" t="s">
        <v>118</v>
      </c>
      <c r="F502" s="47"/>
      <c r="G502" s="87"/>
      <c r="H502" s="49"/>
      <c r="I502" s="38"/>
      <c r="J502" s="53"/>
      <c r="K502" s="51"/>
      <c r="L502" s="43"/>
      <c r="M502" s="150"/>
    </row>
    <row r="503" spans="1:13" s="13" customFormat="1" x14ac:dyDescent="0.2">
      <c r="A503" s="36">
        <f>IF(F503&lt;&gt;"",1+MAX($A$1:A502),"")</f>
        <v>300</v>
      </c>
      <c r="B503" s="44" t="s">
        <v>82</v>
      </c>
      <c r="C503" s="38" t="s">
        <v>89</v>
      </c>
      <c r="D503" s="89"/>
      <c r="E503" s="24" t="s">
        <v>91</v>
      </c>
      <c r="F503" s="47">
        <f>54.3*14.25</f>
        <v>773.77499999999998</v>
      </c>
      <c r="G503" s="48">
        <v>0.1</v>
      </c>
      <c r="H503" s="49">
        <f>F503*(1+G503)</f>
        <v>851.15250000000003</v>
      </c>
      <c r="I503" s="38" t="s">
        <v>16</v>
      </c>
      <c r="J503" s="53">
        <f>J$485</f>
        <v>0</v>
      </c>
      <c r="K503" s="51">
        <f>J503*H503</f>
        <v>0</v>
      </c>
      <c r="L503" s="43"/>
      <c r="M503" s="150"/>
    </row>
    <row r="504" spans="1:13" s="13" customFormat="1" x14ac:dyDescent="0.2">
      <c r="A504" s="36" t="str">
        <f>IF(F504&lt;&gt;"",1+MAX($A$1:A503),"")</f>
        <v/>
      </c>
      <c r="B504" s="44"/>
      <c r="C504" s="38"/>
      <c r="D504" s="85"/>
      <c r="E504" s="90" t="s">
        <v>21</v>
      </c>
      <c r="F504" s="91"/>
      <c r="G504" s="92"/>
      <c r="H504" s="49">
        <f>ROUNDUP((H503)/32,0)</f>
        <v>27</v>
      </c>
      <c r="I504" s="38" t="s">
        <v>22</v>
      </c>
      <c r="J504" s="53"/>
      <c r="K504" s="51"/>
      <c r="L504" s="43"/>
      <c r="M504" s="150"/>
    </row>
    <row r="505" spans="1:13" s="13" customFormat="1" x14ac:dyDescent="0.2">
      <c r="A505" s="36" t="str">
        <f>IF(F505&lt;&gt;"",1+MAX($A$1:A504),"")</f>
        <v/>
      </c>
      <c r="B505" s="44"/>
      <c r="C505" s="38"/>
      <c r="D505" s="85"/>
      <c r="E505" s="90" t="s">
        <v>23</v>
      </c>
      <c r="F505" s="91"/>
      <c r="G505" s="92"/>
      <c r="H505" s="49">
        <f>ROUNDUP(H504*24/500,0)</f>
        <v>2</v>
      </c>
      <c r="I505" s="38" t="s">
        <v>24</v>
      </c>
      <c r="J505" s="53"/>
      <c r="K505" s="51"/>
      <c r="L505" s="43"/>
      <c r="M505" s="150"/>
    </row>
    <row r="506" spans="1:13" s="13" customFormat="1" x14ac:dyDescent="0.2">
      <c r="A506" s="36" t="str">
        <f>IF(F506&lt;&gt;"",1+MAX($A$1:A505),"")</f>
        <v/>
      </c>
      <c r="B506" s="44"/>
      <c r="C506" s="38"/>
      <c r="D506" s="85"/>
      <c r="E506" s="90" t="s">
        <v>25</v>
      </c>
      <c r="F506" s="91"/>
      <c r="G506" s="92"/>
      <c r="H506" s="101">
        <f>ROUNDUP((H503)/200,0)</f>
        <v>5</v>
      </c>
      <c r="I506" s="38" t="s">
        <v>26</v>
      </c>
      <c r="J506" s="53"/>
      <c r="K506" s="51"/>
      <c r="L506" s="43"/>
      <c r="M506" s="150"/>
    </row>
    <row r="507" spans="1:13" s="13" customFormat="1" x14ac:dyDescent="0.2">
      <c r="A507" s="36" t="str">
        <f>IF(F507&lt;&gt;"",1+MAX($A$1:A506),"")</f>
        <v/>
      </c>
      <c r="B507" s="44"/>
      <c r="C507" s="38"/>
      <c r="D507" s="85"/>
      <c r="E507" s="90" t="s">
        <v>27</v>
      </c>
      <c r="F507" s="91"/>
      <c r="G507" s="92"/>
      <c r="H507" s="101">
        <f>ROUNDUP((H503)*5.25/1000,0)</f>
        <v>5</v>
      </c>
      <c r="I507" s="38" t="s">
        <v>28</v>
      </c>
      <c r="J507" s="53"/>
      <c r="K507" s="51"/>
      <c r="L507" s="43"/>
      <c r="M507" s="150"/>
    </row>
    <row r="508" spans="1:13" s="13" customFormat="1" x14ac:dyDescent="0.2">
      <c r="A508" s="36">
        <f>IF(F508&lt;&gt;"",1+MAX($A$1:A507),"")</f>
        <v>301</v>
      </c>
      <c r="B508" s="44" t="s">
        <v>82</v>
      </c>
      <c r="C508" s="38" t="s">
        <v>89</v>
      </c>
      <c r="D508" s="85"/>
      <c r="E508" s="24" t="s">
        <v>88</v>
      </c>
      <c r="F508" s="47">
        <f>54.3*2</f>
        <v>108.6</v>
      </c>
      <c r="G508" s="48">
        <v>0.1</v>
      </c>
      <c r="H508" s="49">
        <f t="shared" ref="H508:H509" si="143">F508*(1+G508)</f>
        <v>119.46000000000001</v>
      </c>
      <c r="I508" s="38" t="s">
        <v>13</v>
      </c>
      <c r="J508" s="53">
        <f>J$490</f>
        <v>0</v>
      </c>
      <c r="K508" s="51">
        <f t="shared" ref="K508:K509" si="144">J508*H508</f>
        <v>0</v>
      </c>
      <c r="L508" s="43"/>
      <c r="M508" s="150"/>
    </row>
    <row r="509" spans="1:13" s="13" customFormat="1" x14ac:dyDescent="0.2">
      <c r="A509" s="36">
        <f>IF(F509&lt;&gt;"",1+MAX($A$1:A508),"")</f>
        <v>302</v>
      </c>
      <c r="B509" s="44" t="s">
        <v>82</v>
      </c>
      <c r="C509" s="38" t="s">
        <v>89</v>
      </c>
      <c r="D509" s="85"/>
      <c r="E509" s="24" t="s">
        <v>119</v>
      </c>
      <c r="F509" s="47">
        <f t="shared" ref="F509" si="145">54.3*14.25</f>
        <v>773.77499999999998</v>
      </c>
      <c r="G509" s="48">
        <v>0.1</v>
      </c>
      <c r="H509" s="49">
        <f t="shared" si="143"/>
        <v>851.15250000000003</v>
      </c>
      <c r="I509" s="38" t="s">
        <v>16</v>
      </c>
      <c r="J509" s="53">
        <v>0</v>
      </c>
      <c r="K509" s="51">
        <f t="shared" si="144"/>
        <v>0</v>
      </c>
      <c r="L509" s="43"/>
      <c r="M509" s="150"/>
    </row>
    <row r="510" spans="1:13" s="13" customFormat="1" x14ac:dyDescent="0.2">
      <c r="A510" s="36" t="str">
        <f>IF(F510&lt;&gt;"",1+MAX($A$1:A509),"")</f>
        <v/>
      </c>
      <c r="B510" s="44"/>
      <c r="C510" s="38"/>
      <c r="D510" s="85"/>
      <c r="E510" s="90"/>
      <c r="F510" s="91"/>
      <c r="G510" s="92"/>
      <c r="H510" s="49"/>
      <c r="I510" s="38"/>
      <c r="J510" s="53"/>
      <c r="K510" s="51"/>
      <c r="L510" s="43"/>
      <c r="M510" s="150"/>
    </row>
    <row r="511" spans="1:13" s="13" customFormat="1" x14ac:dyDescent="0.2">
      <c r="A511" s="36" t="str">
        <f>IF(F511&lt;&gt;"",1+MAX($A$1:A510),"")</f>
        <v/>
      </c>
      <c r="B511" s="44"/>
      <c r="C511" s="38"/>
      <c r="D511" s="85"/>
      <c r="E511" s="88" t="s">
        <v>120</v>
      </c>
      <c r="F511" s="47"/>
      <c r="G511" s="87"/>
      <c r="H511" s="49"/>
      <c r="I511" s="38"/>
      <c r="J511" s="53"/>
      <c r="K511" s="51"/>
      <c r="L511" s="43"/>
      <c r="M511" s="150"/>
    </row>
    <row r="512" spans="1:13" s="13" customFormat="1" x14ac:dyDescent="0.2">
      <c r="A512" s="36">
        <f>IF(F512&lt;&gt;"",1+MAX($A$1:A511),"")</f>
        <v>303</v>
      </c>
      <c r="B512" s="44" t="s">
        <v>82</v>
      </c>
      <c r="C512" s="38" t="s">
        <v>89</v>
      </c>
      <c r="D512" s="89"/>
      <c r="E512" s="24" t="s">
        <v>98</v>
      </c>
      <c r="F512" s="47">
        <f>277.3*17</f>
        <v>4714.1000000000004</v>
      </c>
      <c r="G512" s="48">
        <v>0.1</v>
      </c>
      <c r="H512" s="49">
        <f>F512*(1+G512)</f>
        <v>5185.5100000000011</v>
      </c>
      <c r="I512" s="38" t="s">
        <v>16</v>
      </c>
      <c r="J512" s="53">
        <v>0</v>
      </c>
      <c r="K512" s="51">
        <f>J512*H512</f>
        <v>0</v>
      </c>
      <c r="L512" s="43"/>
      <c r="M512" s="150"/>
    </row>
    <row r="513" spans="1:13" s="13" customFormat="1" x14ac:dyDescent="0.2">
      <c r="A513" s="36" t="str">
        <f>IF(F513&lt;&gt;"",1+MAX($A$1:A512),"")</f>
        <v/>
      </c>
      <c r="B513" s="44"/>
      <c r="C513" s="38"/>
      <c r="D513" s="85"/>
      <c r="E513" s="90" t="s">
        <v>21</v>
      </c>
      <c r="F513" s="91"/>
      <c r="G513" s="92"/>
      <c r="H513" s="49">
        <f>ROUNDUP((H512)/32,0)</f>
        <v>163</v>
      </c>
      <c r="I513" s="38" t="s">
        <v>22</v>
      </c>
      <c r="J513" s="53"/>
      <c r="K513" s="51"/>
      <c r="L513" s="43"/>
      <c r="M513" s="150"/>
    </row>
    <row r="514" spans="1:13" s="13" customFormat="1" x14ac:dyDescent="0.2">
      <c r="A514" s="36" t="str">
        <f>IF(F514&lt;&gt;"",1+MAX($A$1:A513),"")</f>
        <v/>
      </c>
      <c r="B514" s="44"/>
      <c r="C514" s="38"/>
      <c r="D514" s="85"/>
      <c r="E514" s="90" t="s">
        <v>23</v>
      </c>
      <c r="F514" s="91"/>
      <c r="G514" s="92"/>
      <c r="H514" s="49">
        <f>ROUNDUP(H513*24/500,0)</f>
        <v>8</v>
      </c>
      <c r="I514" s="38" t="s">
        <v>24</v>
      </c>
      <c r="J514" s="53"/>
      <c r="K514" s="51"/>
      <c r="L514" s="43"/>
      <c r="M514" s="150"/>
    </row>
    <row r="515" spans="1:13" s="13" customFormat="1" x14ac:dyDescent="0.2">
      <c r="A515" s="36" t="str">
        <f>IF(F515&lt;&gt;"",1+MAX($A$1:A514),"")</f>
        <v/>
      </c>
      <c r="B515" s="44"/>
      <c r="C515" s="38"/>
      <c r="D515" s="85"/>
      <c r="E515" s="90" t="s">
        <v>25</v>
      </c>
      <c r="F515" s="91"/>
      <c r="G515" s="92"/>
      <c r="H515" s="101">
        <f>ROUNDUP((H512)/200,0)</f>
        <v>26</v>
      </c>
      <c r="I515" s="38" t="s">
        <v>26</v>
      </c>
      <c r="J515" s="53"/>
      <c r="K515" s="51"/>
      <c r="L515" s="43"/>
      <c r="M515" s="150"/>
    </row>
    <row r="516" spans="1:13" s="13" customFormat="1" x14ac:dyDescent="0.2">
      <c r="A516" s="36" t="str">
        <f>IF(F516&lt;&gt;"",1+MAX($A$1:A515),"")</f>
        <v/>
      </c>
      <c r="B516" s="44"/>
      <c r="C516" s="38"/>
      <c r="D516" s="85"/>
      <c r="E516" s="90" t="s">
        <v>27</v>
      </c>
      <c r="F516" s="91"/>
      <c r="G516" s="92"/>
      <c r="H516" s="101">
        <f>ROUNDUP((H512)*5.25/1000,0)</f>
        <v>28</v>
      </c>
      <c r="I516" s="38" t="s">
        <v>28</v>
      </c>
      <c r="J516" s="53"/>
      <c r="K516" s="51"/>
      <c r="L516" s="43"/>
      <c r="M516" s="150"/>
    </row>
    <row r="517" spans="1:13" s="13" customFormat="1" x14ac:dyDescent="0.2">
      <c r="A517" s="36">
        <f>IF(F517&lt;&gt;"",1+MAX($A$1:A516),"")</f>
        <v>304</v>
      </c>
      <c r="B517" s="44" t="s">
        <v>82</v>
      </c>
      <c r="C517" s="38" t="s">
        <v>89</v>
      </c>
      <c r="D517" s="85"/>
      <c r="E517" s="24" t="s">
        <v>88</v>
      </c>
      <c r="F517" s="47">
        <f>277.3*2</f>
        <v>554.6</v>
      </c>
      <c r="G517" s="48">
        <v>0.1</v>
      </c>
      <c r="H517" s="49">
        <f t="shared" ref="H517:H518" si="146">F517*(1+G517)</f>
        <v>610.06000000000006</v>
      </c>
      <c r="I517" s="38" t="s">
        <v>13</v>
      </c>
      <c r="J517" s="53">
        <f>J$490</f>
        <v>0</v>
      </c>
      <c r="K517" s="51">
        <f t="shared" ref="K517:K518" si="147">J517*H517</f>
        <v>0</v>
      </c>
      <c r="L517" s="43"/>
      <c r="M517" s="150"/>
    </row>
    <row r="518" spans="1:13" s="13" customFormat="1" x14ac:dyDescent="0.2">
      <c r="A518" s="36">
        <f>IF(F518&lt;&gt;"",1+MAX($A$1:A517),"")</f>
        <v>305</v>
      </c>
      <c r="B518" s="44" t="s">
        <v>82</v>
      </c>
      <c r="C518" s="38" t="s">
        <v>89</v>
      </c>
      <c r="D518" s="85"/>
      <c r="E518" s="24" t="s">
        <v>121</v>
      </c>
      <c r="F518" s="47">
        <f>277.3*17</f>
        <v>4714.1000000000004</v>
      </c>
      <c r="G518" s="48">
        <v>0.1</v>
      </c>
      <c r="H518" s="49">
        <f t="shared" si="146"/>
        <v>5185.5100000000011</v>
      </c>
      <c r="I518" s="38" t="s">
        <v>16</v>
      </c>
      <c r="J518" s="53">
        <v>0</v>
      </c>
      <c r="K518" s="51">
        <f t="shared" si="147"/>
        <v>0</v>
      </c>
      <c r="L518" s="43"/>
      <c r="M518" s="150"/>
    </row>
    <row r="519" spans="1:13" s="13" customFormat="1" x14ac:dyDescent="0.2">
      <c r="A519" s="36" t="str">
        <f>IF(F519&lt;&gt;"",1+MAX($A$1:A518),"")</f>
        <v/>
      </c>
      <c r="B519" s="44"/>
      <c r="C519" s="38"/>
      <c r="D519" s="85"/>
      <c r="E519" s="90"/>
      <c r="F519" s="91"/>
      <c r="G519" s="92"/>
      <c r="H519" s="49"/>
      <c r="I519" s="38"/>
      <c r="J519" s="53"/>
      <c r="K519" s="51"/>
      <c r="L519" s="43"/>
      <c r="M519" s="150"/>
    </row>
    <row r="520" spans="1:13" s="13" customFormat="1" x14ac:dyDescent="0.2">
      <c r="A520" s="36" t="str">
        <f>IF(F520&lt;&gt;"",1+MAX($A$1:A519),"")</f>
        <v/>
      </c>
      <c r="B520" s="44"/>
      <c r="C520" s="38"/>
      <c r="D520" s="85"/>
      <c r="E520" s="86" t="s">
        <v>134</v>
      </c>
      <c r="F520" s="47"/>
      <c r="G520" s="87"/>
      <c r="H520" s="49"/>
      <c r="I520" s="38"/>
      <c r="J520" s="53"/>
      <c r="K520" s="51"/>
      <c r="L520" s="43"/>
      <c r="M520" s="150"/>
    </row>
    <row r="521" spans="1:13" s="13" customFormat="1" x14ac:dyDescent="0.2">
      <c r="A521" s="36" t="str">
        <f>IF(F521&lt;&gt;"",1+MAX($A$1:A520),"")</f>
        <v/>
      </c>
      <c r="B521" s="44"/>
      <c r="C521" s="38"/>
      <c r="D521" s="85"/>
      <c r="E521" s="88" t="s">
        <v>86</v>
      </c>
      <c r="F521" s="47"/>
      <c r="G521" s="87"/>
      <c r="H521" s="49"/>
      <c r="I521" s="38"/>
      <c r="J521" s="53"/>
      <c r="K521" s="51"/>
      <c r="L521" s="43"/>
      <c r="M521" s="150"/>
    </row>
    <row r="522" spans="1:13" s="13" customFormat="1" x14ac:dyDescent="0.2">
      <c r="A522" s="36">
        <f>IF(F522&lt;&gt;"",1+MAX($A$1:A521),"")</f>
        <v>306</v>
      </c>
      <c r="B522" s="44" t="s">
        <v>82</v>
      </c>
      <c r="C522" s="38" t="s">
        <v>89</v>
      </c>
      <c r="D522" s="89"/>
      <c r="E522" s="24" t="s">
        <v>85</v>
      </c>
      <c r="F522" s="47">
        <f>239*10*2+123*10</f>
        <v>6010</v>
      </c>
      <c r="G522" s="48">
        <v>0.1</v>
      </c>
      <c r="H522" s="49">
        <f>F522*(1+G522)</f>
        <v>6611.0000000000009</v>
      </c>
      <c r="I522" s="38" t="s">
        <v>16</v>
      </c>
      <c r="J522" s="53">
        <f>J$485</f>
        <v>0</v>
      </c>
      <c r="K522" s="51">
        <f>J522*H522</f>
        <v>0</v>
      </c>
      <c r="L522" s="43"/>
      <c r="M522" s="150"/>
    </row>
    <row r="523" spans="1:13" s="13" customFormat="1" x14ac:dyDescent="0.2">
      <c r="A523" s="36">
        <f>IF(F523&lt;&gt;"",1+MAX($A$1:A522),"")</f>
        <v>307</v>
      </c>
      <c r="B523" s="44" t="s">
        <v>82</v>
      </c>
      <c r="C523" s="38" t="s">
        <v>89</v>
      </c>
      <c r="D523" s="89"/>
      <c r="E523" s="24" t="s">
        <v>87</v>
      </c>
      <c r="F523" s="47">
        <f>123*10</f>
        <v>1230</v>
      </c>
      <c r="G523" s="48">
        <v>0.1</v>
      </c>
      <c r="H523" s="49">
        <f>F523*(1+G523)</f>
        <v>1353</v>
      </c>
      <c r="I523" s="38" t="s">
        <v>16</v>
      </c>
      <c r="J523" s="53">
        <v>0</v>
      </c>
      <c r="K523" s="51">
        <f>J523*H523</f>
        <v>0</v>
      </c>
      <c r="L523" s="43"/>
      <c r="M523" s="150"/>
    </row>
    <row r="524" spans="1:13" s="13" customFormat="1" x14ac:dyDescent="0.2">
      <c r="A524" s="36" t="str">
        <f>IF(F524&lt;&gt;"",1+MAX($A$1:A523),"")</f>
        <v/>
      </c>
      <c r="B524" s="44"/>
      <c r="C524" s="38"/>
      <c r="D524" s="85"/>
      <c r="E524" s="90" t="s">
        <v>21</v>
      </c>
      <c r="F524" s="91"/>
      <c r="G524" s="92"/>
      <c r="H524" s="49">
        <f>ROUNDUP((H523+H522)/32,0)</f>
        <v>249</v>
      </c>
      <c r="I524" s="38" t="s">
        <v>22</v>
      </c>
      <c r="J524" s="53"/>
      <c r="K524" s="51"/>
      <c r="L524" s="43"/>
      <c r="M524" s="150"/>
    </row>
    <row r="525" spans="1:13" s="13" customFormat="1" x14ac:dyDescent="0.2">
      <c r="A525" s="36" t="str">
        <f>IF(F525&lt;&gt;"",1+MAX($A$1:A524),"")</f>
        <v/>
      </c>
      <c r="B525" s="44"/>
      <c r="C525" s="38"/>
      <c r="D525" s="85"/>
      <c r="E525" s="90" t="s">
        <v>23</v>
      </c>
      <c r="F525" s="91"/>
      <c r="G525" s="92"/>
      <c r="H525" s="49">
        <f>ROUNDUP(H524*24/500,0)</f>
        <v>12</v>
      </c>
      <c r="I525" s="38" t="s">
        <v>24</v>
      </c>
      <c r="J525" s="53"/>
      <c r="K525" s="51"/>
      <c r="L525" s="43"/>
      <c r="M525" s="150"/>
    </row>
    <row r="526" spans="1:13" s="13" customFormat="1" x14ac:dyDescent="0.2">
      <c r="A526" s="36" t="str">
        <f>IF(F526&lt;&gt;"",1+MAX($A$1:A525),"")</f>
        <v/>
      </c>
      <c r="B526" s="44"/>
      <c r="C526" s="38"/>
      <c r="D526" s="85"/>
      <c r="E526" s="90" t="s">
        <v>25</v>
      </c>
      <c r="F526" s="91"/>
      <c r="G526" s="92"/>
      <c r="H526" s="101">
        <f>ROUNDUP((H523+H522)/200,0)</f>
        <v>40</v>
      </c>
      <c r="I526" s="38" t="s">
        <v>26</v>
      </c>
      <c r="J526" s="53"/>
      <c r="K526" s="51"/>
      <c r="L526" s="43"/>
      <c r="M526" s="150"/>
    </row>
    <row r="527" spans="1:13" s="13" customFormat="1" x14ac:dyDescent="0.2">
      <c r="A527" s="36" t="str">
        <f>IF(F527&lt;&gt;"",1+MAX($A$1:A526),"")</f>
        <v/>
      </c>
      <c r="B527" s="44"/>
      <c r="C527" s="38"/>
      <c r="D527" s="85"/>
      <c r="E527" s="90" t="s">
        <v>27</v>
      </c>
      <c r="F527" s="91"/>
      <c r="G527" s="92"/>
      <c r="H527" s="101">
        <f>ROUNDUP((H523+H522)*5.25/1000,0)</f>
        <v>42</v>
      </c>
      <c r="I527" s="38" t="s">
        <v>28</v>
      </c>
      <c r="J527" s="53"/>
      <c r="K527" s="51"/>
      <c r="L527" s="43"/>
      <c r="M527" s="150"/>
    </row>
    <row r="528" spans="1:13" s="13" customFormat="1" x14ac:dyDescent="0.2">
      <c r="A528" s="36">
        <f>IF(F528&lt;&gt;"",1+MAX($A$1:A527),"")</f>
        <v>308</v>
      </c>
      <c r="B528" s="44" t="s">
        <v>82</v>
      </c>
      <c r="C528" s="38" t="s">
        <v>89</v>
      </c>
      <c r="D528" s="85"/>
      <c r="E528" s="24" t="s">
        <v>88</v>
      </c>
      <c r="F528" s="47">
        <f>362*4</f>
        <v>1448</v>
      </c>
      <c r="G528" s="48">
        <v>0.1</v>
      </c>
      <c r="H528" s="49">
        <f t="shared" ref="H528:H529" si="148">F528*(1+G528)</f>
        <v>1592.8000000000002</v>
      </c>
      <c r="I528" s="38" t="s">
        <v>13</v>
      </c>
      <c r="J528" s="53">
        <f>J$490</f>
        <v>0</v>
      </c>
      <c r="K528" s="51">
        <f t="shared" ref="K528:K529" si="149">J528*H528</f>
        <v>0</v>
      </c>
      <c r="L528" s="43"/>
      <c r="M528" s="150"/>
    </row>
    <row r="529" spans="1:13" s="13" customFormat="1" x14ac:dyDescent="0.2">
      <c r="A529" s="36">
        <f>IF(F529&lt;&gt;"",1+MAX($A$1:A528),"")</f>
        <v>309</v>
      </c>
      <c r="B529" s="44" t="s">
        <v>82</v>
      </c>
      <c r="C529" s="38" t="s">
        <v>89</v>
      </c>
      <c r="D529" s="85"/>
      <c r="E529" s="24" t="s">
        <v>93</v>
      </c>
      <c r="F529" s="47">
        <f>362*10</f>
        <v>3620</v>
      </c>
      <c r="G529" s="48">
        <v>0.1</v>
      </c>
      <c r="H529" s="49">
        <f t="shared" si="148"/>
        <v>3982.0000000000005</v>
      </c>
      <c r="I529" s="38" t="s">
        <v>16</v>
      </c>
      <c r="J529" s="53">
        <f>J$491</f>
        <v>0</v>
      </c>
      <c r="K529" s="51">
        <f t="shared" si="149"/>
        <v>0</v>
      </c>
      <c r="L529" s="43"/>
      <c r="M529" s="150"/>
    </row>
    <row r="530" spans="1:13" s="13" customFormat="1" x14ac:dyDescent="0.2">
      <c r="A530" s="36" t="str">
        <f>IF(F530&lt;&gt;"",1+MAX($A$1:A529),"")</f>
        <v/>
      </c>
      <c r="B530" s="44"/>
      <c r="C530" s="38"/>
      <c r="D530" s="85"/>
      <c r="E530" s="90"/>
      <c r="F530" s="91"/>
      <c r="G530" s="92"/>
      <c r="H530" s="49"/>
      <c r="I530" s="38"/>
      <c r="J530" s="53"/>
      <c r="K530" s="51"/>
      <c r="L530" s="43"/>
      <c r="M530" s="150"/>
    </row>
    <row r="531" spans="1:13" s="13" customFormat="1" x14ac:dyDescent="0.2">
      <c r="A531" s="36" t="str">
        <f>IF(F531&lt;&gt;"",1+MAX($A$1:A530),"")</f>
        <v/>
      </c>
      <c r="B531" s="44"/>
      <c r="C531" s="38"/>
      <c r="D531" s="85"/>
      <c r="E531" s="88" t="s">
        <v>90</v>
      </c>
      <c r="F531" s="47"/>
      <c r="G531" s="87"/>
      <c r="H531" s="49"/>
      <c r="I531" s="38"/>
      <c r="J531" s="53"/>
      <c r="K531" s="51"/>
      <c r="L531" s="43"/>
      <c r="M531" s="150"/>
    </row>
    <row r="532" spans="1:13" s="13" customFormat="1" x14ac:dyDescent="0.2">
      <c r="A532" s="36">
        <f>IF(F532&lt;&gt;"",1+MAX($A$1:A531),"")</f>
        <v>310</v>
      </c>
      <c r="B532" s="44" t="s">
        <v>82</v>
      </c>
      <c r="C532" s="38" t="s">
        <v>89</v>
      </c>
      <c r="D532" s="89"/>
      <c r="E532" s="24" t="s">
        <v>87</v>
      </c>
      <c r="F532" s="47">
        <f>23.4*10</f>
        <v>234</v>
      </c>
      <c r="G532" s="48">
        <v>0.1</v>
      </c>
      <c r="H532" s="49">
        <f>F532*(1+G532)</f>
        <v>257.40000000000003</v>
      </c>
      <c r="I532" s="38" t="s">
        <v>16</v>
      </c>
      <c r="J532" s="53">
        <f>J$523</f>
        <v>0</v>
      </c>
      <c r="K532" s="51">
        <f>J532*H532</f>
        <v>0</v>
      </c>
      <c r="L532" s="43"/>
      <c r="M532" s="150"/>
    </row>
    <row r="533" spans="1:13" s="13" customFormat="1" x14ac:dyDescent="0.2">
      <c r="A533" s="36" t="str">
        <f>IF(F533&lt;&gt;"",1+MAX($A$1:A532),"")</f>
        <v/>
      </c>
      <c r="B533" s="44"/>
      <c r="C533" s="38"/>
      <c r="D533" s="85"/>
      <c r="E533" s="90" t="s">
        <v>21</v>
      </c>
      <c r="F533" s="91"/>
      <c r="G533" s="92"/>
      <c r="H533" s="49">
        <f>ROUNDUP((H532)/32,0)</f>
        <v>9</v>
      </c>
      <c r="I533" s="38" t="s">
        <v>22</v>
      </c>
      <c r="J533" s="53"/>
      <c r="K533" s="51"/>
      <c r="L533" s="43"/>
      <c r="M533" s="150"/>
    </row>
    <row r="534" spans="1:13" s="13" customFormat="1" x14ac:dyDescent="0.2">
      <c r="A534" s="36" t="str">
        <f>IF(F534&lt;&gt;"",1+MAX($A$1:A533),"")</f>
        <v/>
      </c>
      <c r="B534" s="44"/>
      <c r="C534" s="38"/>
      <c r="D534" s="85"/>
      <c r="E534" s="90" t="s">
        <v>23</v>
      </c>
      <c r="F534" s="91"/>
      <c r="G534" s="92"/>
      <c r="H534" s="49">
        <f>ROUNDUP(H533*24/500,0)</f>
        <v>1</v>
      </c>
      <c r="I534" s="38" t="s">
        <v>24</v>
      </c>
      <c r="J534" s="53"/>
      <c r="K534" s="51"/>
      <c r="L534" s="43"/>
      <c r="M534" s="150"/>
    </row>
    <row r="535" spans="1:13" s="13" customFormat="1" x14ac:dyDescent="0.2">
      <c r="A535" s="36" t="str">
        <f>IF(F535&lt;&gt;"",1+MAX($A$1:A534),"")</f>
        <v/>
      </c>
      <c r="B535" s="44"/>
      <c r="C535" s="38"/>
      <c r="D535" s="85"/>
      <c r="E535" s="90" t="s">
        <v>25</v>
      </c>
      <c r="F535" s="91"/>
      <c r="G535" s="92"/>
      <c r="H535" s="101">
        <f>ROUNDUP((H532)/200,0)</f>
        <v>2</v>
      </c>
      <c r="I535" s="38" t="s">
        <v>26</v>
      </c>
      <c r="J535" s="53"/>
      <c r="K535" s="51"/>
      <c r="L535" s="43"/>
      <c r="M535" s="150"/>
    </row>
    <row r="536" spans="1:13" s="13" customFormat="1" x14ac:dyDescent="0.2">
      <c r="A536" s="36" t="str">
        <f>IF(F536&lt;&gt;"",1+MAX($A$1:A535),"")</f>
        <v/>
      </c>
      <c r="B536" s="44"/>
      <c r="C536" s="38"/>
      <c r="D536" s="85"/>
      <c r="E536" s="90" t="s">
        <v>27</v>
      </c>
      <c r="F536" s="91"/>
      <c r="G536" s="92"/>
      <c r="H536" s="101">
        <f>ROUNDUP((H532)*5.25/1000,0)</f>
        <v>2</v>
      </c>
      <c r="I536" s="38" t="s">
        <v>28</v>
      </c>
      <c r="J536" s="53"/>
      <c r="K536" s="51"/>
      <c r="L536" s="43"/>
      <c r="M536" s="150"/>
    </row>
    <row r="537" spans="1:13" s="13" customFormat="1" x14ac:dyDescent="0.2">
      <c r="A537" s="36">
        <f>IF(F537&lt;&gt;"",1+MAX($A$1:A536),"")</f>
        <v>311</v>
      </c>
      <c r="B537" s="44" t="s">
        <v>82</v>
      </c>
      <c r="C537" s="38" t="s">
        <v>89</v>
      </c>
      <c r="D537" s="85"/>
      <c r="E537" s="24" t="s">
        <v>88</v>
      </c>
      <c r="F537" s="47">
        <f>23.4*2</f>
        <v>46.8</v>
      </c>
      <c r="G537" s="48">
        <v>0.1</v>
      </c>
      <c r="H537" s="49">
        <f t="shared" ref="H537:H538" si="150">F537*(1+G537)</f>
        <v>51.480000000000004</v>
      </c>
      <c r="I537" s="38" t="s">
        <v>13</v>
      </c>
      <c r="J537" s="53">
        <f>J$490</f>
        <v>0</v>
      </c>
      <c r="K537" s="51">
        <f t="shared" ref="K537:K538" si="151">J537*H537</f>
        <v>0</v>
      </c>
      <c r="L537" s="43"/>
      <c r="M537" s="150"/>
    </row>
    <row r="538" spans="1:13" s="13" customFormat="1" x14ac:dyDescent="0.2">
      <c r="A538" s="36">
        <f>IF(F538&lt;&gt;"",1+MAX($A$1:A537),"")</f>
        <v>312</v>
      </c>
      <c r="B538" s="44" t="s">
        <v>82</v>
      </c>
      <c r="C538" s="38" t="s">
        <v>89</v>
      </c>
      <c r="D538" s="85"/>
      <c r="E538" s="24" t="s">
        <v>93</v>
      </c>
      <c r="F538" s="47">
        <f>23.4*10</f>
        <v>234</v>
      </c>
      <c r="G538" s="48">
        <v>0.1</v>
      </c>
      <c r="H538" s="49">
        <f t="shared" si="150"/>
        <v>257.40000000000003</v>
      </c>
      <c r="I538" s="38" t="s">
        <v>16</v>
      </c>
      <c r="J538" s="53">
        <f>J$491</f>
        <v>0</v>
      </c>
      <c r="K538" s="51">
        <f t="shared" si="151"/>
        <v>0</v>
      </c>
      <c r="L538" s="43"/>
      <c r="M538" s="150"/>
    </row>
    <row r="539" spans="1:13" s="13" customFormat="1" x14ac:dyDescent="0.2">
      <c r="A539" s="36" t="str">
        <f>IF(F539&lt;&gt;"",1+MAX($A$1:A538),"")</f>
        <v/>
      </c>
      <c r="B539" s="44"/>
      <c r="C539" s="38"/>
      <c r="D539" s="85"/>
      <c r="E539" s="90"/>
      <c r="F539" s="91"/>
      <c r="G539" s="92"/>
      <c r="H539" s="49"/>
      <c r="I539" s="38"/>
      <c r="J539" s="53"/>
      <c r="K539" s="51"/>
      <c r="L539" s="43"/>
      <c r="M539" s="150"/>
    </row>
    <row r="540" spans="1:13" s="13" customFormat="1" x14ac:dyDescent="0.2">
      <c r="A540" s="36" t="str">
        <f>IF(F540&lt;&gt;"",1+MAX($A$1:A539),"")</f>
        <v/>
      </c>
      <c r="B540" s="44"/>
      <c r="C540" s="38"/>
      <c r="D540" s="85"/>
      <c r="E540" s="88" t="s">
        <v>92</v>
      </c>
      <c r="F540" s="47"/>
      <c r="G540" s="87"/>
      <c r="H540" s="49"/>
      <c r="I540" s="38"/>
      <c r="J540" s="53"/>
      <c r="K540" s="51"/>
      <c r="L540" s="43"/>
      <c r="M540" s="150"/>
    </row>
    <row r="541" spans="1:13" s="13" customFormat="1" x14ac:dyDescent="0.2">
      <c r="A541" s="36">
        <f>IF(F541&lt;&gt;"",1+MAX($A$1:A540),"")</f>
        <v>313</v>
      </c>
      <c r="B541" s="44" t="s">
        <v>82</v>
      </c>
      <c r="C541" s="38" t="s">
        <v>89</v>
      </c>
      <c r="D541" s="89"/>
      <c r="E541" s="24" t="s">
        <v>85</v>
      </c>
      <c r="F541" s="47">
        <f>8.9*10*2+11.4*10</f>
        <v>292</v>
      </c>
      <c r="G541" s="48">
        <v>0.1</v>
      </c>
      <c r="H541" s="49">
        <f>F541*(1+G541)</f>
        <v>321.20000000000005</v>
      </c>
      <c r="I541" s="38" t="s">
        <v>16</v>
      </c>
      <c r="J541" s="53">
        <f>J$485</f>
        <v>0</v>
      </c>
      <c r="K541" s="51">
        <f>J541*H541</f>
        <v>0</v>
      </c>
      <c r="L541" s="43"/>
      <c r="M541" s="150"/>
    </row>
    <row r="542" spans="1:13" s="13" customFormat="1" x14ac:dyDescent="0.2">
      <c r="A542" s="36">
        <f>IF(F542&lt;&gt;"",1+MAX($A$1:A541),"")</f>
        <v>314</v>
      </c>
      <c r="B542" s="44" t="s">
        <v>82</v>
      </c>
      <c r="C542" s="38" t="s">
        <v>89</v>
      </c>
      <c r="D542" s="89"/>
      <c r="E542" s="24" t="s">
        <v>87</v>
      </c>
      <c r="F542" s="47">
        <f>7.1*10*2+11.4*10</f>
        <v>256</v>
      </c>
      <c r="G542" s="48">
        <v>0.1</v>
      </c>
      <c r="H542" s="49">
        <f>F542*(1+G542)</f>
        <v>281.60000000000002</v>
      </c>
      <c r="I542" s="38" t="s">
        <v>16</v>
      </c>
      <c r="J542" s="53">
        <f>J$523</f>
        <v>0</v>
      </c>
      <c r="K542" s="51">
        <f>J542*H542</f>
        <v>0</v>
      </c>
      <c r="L542" s="43"/>
      <c r="M542" s="150"/>
    </row>
    <row r="543" spans="1:13" s="13" customFormat="1" x14ac:dyDescent="0.2">
      <c r="A543" s="36" t="str">
        <f>IF(F543&lt;&gt;"",1+MAX($A$1:A542),"")</f>
        <v/>
      </c>
      <c r="B543" s="44"/>
      <c r="C543" s="38"/>
      <c r="D543" s="85"/>
      <c r="E543" s="90" t="s">
        <v>21</v>
      </c>
      <c r="F543" s="91"/>
      <c r="G543" s="92"/>
      <c r="H543" s="49">
        <f>ROUNDUP((H542+H541)/32,0)</f>
        <v>19</v>
      </c>
      <c r="I543" s="38" t="s">
        <v>22</v>
      </c>
      <c r="J543" s="53"/>
      <c r="K543" s="51"/>
      <c r="L543" s="43"/>
      <c r="M543" s="150"/>
    </row>
    <row r="544" spans="1:13" s="13" customFormat="1" x14ac:dyDescent="0.2">
      <c r="A544" s="36" t="str">
        <f>IF(F544&lt;&gt;"",1+MAX($A$1:A543),"")</f>
        <v/>
      </c>
      <c r="B544" s="44"/>
      <c r="C544" s="38"/>
      <c r="D544" s="85"/>
      <c r="E544" s="90" t="s">
        <v>23</v>
      </c>
      <c r="F544" s="91"/>
      <c r="G544" s="92"/>
      <c r="H544" s="49">
        <f>ROUNDUP(H543*24/500,0)</f>
        <v>1</v>
      </c>
      <c r="I544" s="38" t="s">
        <v>24</v>
      </c>
      <c r="J544" s="53"/>
      <c r="K544" s="51"/>
      <c r="L544" s="43"/>
      <c r="M544" s="150"/>
    </row>
    <row r="545" spans="1:13" s="13" customFormat="1" x14ac:dyDescent="0.2">
      <c r="A545" s="36" t="str">
        <f>IF(F545&lt;&gt;"",1+MAX($A$1:A544),"")</f>
        <v/>
      </c>
      <c r="B545" s="44"/>
      <c r="C545" s="38"/>
      <c r="D545" s="85"/>
      <c r="E545" s="90" t="s">
        <v>25</v>
      </c>
      <c r="F545" s="91"/>
      <c r="G545" s="92"/>
      <c r="H545" s="101">
        <f>ROUNDUP((H542+H541)/200,0)</f>
        <v>4</v>
      </c>
      <c r="I545" s="38" t="s">
        <v>26</v>
      </c>
      <c r="J545" s="53"/>
      <c r="K545" s="51"/>
      <c r="L545" s="43"/>
      <c r="M545" s="150"/>
    </row>
    <row r="546" spans="1:13" s="13" customFormat="1" x14ac:dyDescent="0.2">
      <c r="A546" s="36" t="str">
        <f>IF(F546&lt;&gt;"",1+MAX($A$1:A545),"")</f>
        <v/>
      </c>
      <c r="B546" s="44"/>
      <c r="C546" s="38"/>
      <c r="D546" s="85"/>
      <c r="E546" s="90" t="s">
        <v>27</v>
      </c>
      <c r="F546" s="91"/>
      <c r="G546" s="92"/>
      <c r="H546" s="101">
        <f>ROUNDUP((H542+H541)*5.25/1000,0)</f>
        <v>4</v>
      </c>
      <c r="I546" s="38" t="s">
        <v>28</v>
      </c>
      <c r="J546" s="53"/>
      <c r="K546" s="51"/>
      <c r="L546" s="43"/>
      <c r="M546" s="150"/>
    </row>
    <row r="547" spans="1:13" s="13" customFormat="1" x14ac:dyDescent="0.2">
      <c r="A547" s="36">
        <f>IF(F547&lt;&gt;"",1+MAX($A$1:A546),"")</f>
        <v>315</v>
      </c>
      <c r="B547" s="44" t="s">
        <v>82</v>
      </c>
      <c r="C547" s="38" t="s">
        <v>89</v>
      </c>
      <c r="D547" s="85"/>
      <c r="E547" s="24" t="s">
        <v>88</v>
      </c>
      <c r="F547" s="47">
        <f>27.4*4</f>
        <v>109.6</v>
      </c>
      <c r="G547" s="48">
        <v>0.1</v>
      </c>
      <c r="H547" s="49">
        <f t="shared" ref="H547:H548" si="152">F547*(1+G547)</f>
        <v>120.56</v>
      </c>
      <c r="I547" s="38" t="s">
        <v>13</v>
      </c>
      <c r="J547" s="53">
        <f>J$490</f>
        <v>0</v>
      </c>
      <c r="K547" s="51">
        <f t="shared" ref="K547:K548" si="153">J547*H547</f>
        <v>0</v>
      </c>
      <c r="L547" s="43"/>
      <c r="M547" s="150"/>
    </row>
    <row r="548" spans="1:13" s="13" customFormat="1" x14ac:dyDescent="0.2">
      <c r="A548" s="36">
        <f>IF(F548&lt;&gt;"",1+MAX($A$1:A547),"")</f>
        <v>316</v>
      </c>
      <c r="B548" s="44" t="s">
        <v>82</v>
      </c>
      <c r="C548" s="38" t="s">
        <v>89</v>
      </c>
      <c r="D548" s="85"/>
      <c r="E548" s="24" t="s">
        <v>94</v>
      </c>
      <c r="F548" s="47">
        <f>27.4*10</f>
        <v>274</v>
      </c>
      <c r="G548" s="48">
        <v>0.1</v>
      </c>
      <c r="H548" s="49">
        <f t="shared" si="152"/>
        <v>301.40000000000003</v>
      </c>
      <c r="I548" s="38" t="s">
        <v>16</v>
      </c>
      <c r="J548" s="53">
        <v>0</v>
      </c>
      <c r="K548" s="51">
        <f t="shared" si="153"/>
        <v>0</v>
      </c>
      <c r="L548" s="43"/>
      <c r="M548" s="150"/>
    </row>
    <row r="549" spans="1:13" s="13" customFormat="1" x14ac:dyDescent="0.2">
      <c r="A549" s="36" t="str">
        <f>IF(F549&lt;&gt;"",1+MAX($A$1:A548),"")</f>
        <v/>
      </c>
      <c r="B549" s="44"/>
      <c r="C549" s="38"/>
      <c r="D549" s="85"/>
      <c r="E549" s="90"/>
      <c r="F549" s="91"/>
      <c r="G549" s="92"/>
      <c r="H549" s="49"/>
      <c r="I549" s="38"/>
      <c r="J549" s="53"/>
      <c r="K549" s="51"/>
      <c r="L549" s="43"/>
      <c r="M549" s="150"/>
    </row>
    <row r="550" spans="1:13" s="13" customFormat="1" x14ac:dyDescent="0.2">
      <c r="A550" s="36" t="str">
        <f>IF(F550&lt;&gt;"",1+MAX($A$1:A549),"")</f>
        <v/>
      </c>
      <c r="B550" s="44"/>
      <c r="C550" s="38"/>
      <c r="D550" s="85"/>
      <c r="E550" s="88" t="s">
        <v>99</v>
      </c>
      <c r="F550" s="47"/>
      <c r="G550" s="87"/>
      <c r="H550" s="49"/>
      <c r="I550" s="38"/>
      <c r="J550" s="53"/>
      <c r="K550" s="51"/>
      <c r="L550" s="43"/>
      <c r="M550" s="150"/>
    </row>
    <row r="551" spans="1:13" s="13" customFormat="1" x14ac:dyDescent="0.2">
      <c r="A551" s="36">
        <f>IF(F551&lt;&gt;"",1+MAX($A$1:A550),"")</f>
        <v>317</v>
      </c>
      <c r="B551" s="44" t="s">
        <v>82</v>
      </c>
      <c r="C551" s="38" t="s">
        <v>89</v>
      </c>
      <c r="D551" s="89"/>
      <c r="E551" s="24" t="s">
        <v>85</v>
      </c>
      <c r="F551" s="47">
        <f>14.3*10</f>
        <v>143</v>
      </c>
      <c r="G551" s="48">
        <v>0.1</v>
      </c>
      <c r="H551" s="49">
        <f>F551*(1+G551)</f>
        <v>157.30000000000001</v>
      </c>
      <c r="I551" s="38" t="s">
        <v>16</v>
      </c>
      <c r="J551" s="53">
        <f>J$485</f>
        <v>0</v>
      </c>
      <c r="K551" s="51">
        <f>J551*H551</f>
        <v>0</v>
      </c>
      <c r="L551" s="43"/>
      <c r="M551" s="150"/>
    </row>
    <row r="552" spans="1:13" s="13" customFormat="1" x14ac:dyDescent="0.2">
      <c r="A552" s="36">
        <f>IF(F552&lt;&gt;"",1+MAX($A$1:A551),"")</f>
        <v>318</v>
      </c>
      <c r="B552" s="44" t="s">
        <v>82</v>
      </c>
      <c r="C552" s="38" t="s">
        <v>89</v>
      </c>
      <c r="D552" s="89"/>
      <c r="E552" s="24" t="s">
        <v>87</v>
      </c>
      <c r="F552" s="47">
        <f>14.3*10</f>
        <v>143</v>
      </c>
      <c r="G552" s="48">
        <v>0.1</v>
      </c>
      <c r="H552" s="49">
        <f>F552*(1+G552)</f>
        <v>157.30000000000001</v>
      </c>
      <c r="I552" s="38" t="s">
        <v>16</v>
      </c>
      <c r="J552" s="53">
        <f>J$523</f>
        <v>0</v>
      </c>
      <c r="K552" s="51">
        <f>J552*H552</f>
        <v>0</v>
      </c>
      <c r="L552" s="43"/>
      <c r="M552" s="150"/>
    </row>
    <row r="553" spans="1:13" s="13" customFormat="1" x14ac:dyDescent="0.2">
      <c r="A553" s="36" t="str">
        <f>IF(F553&lt;&gt;"",1+MAX($A$1:A552),"")</f>
        <v/>
      </c>
      <c r="B553" s="44"/>
      <c r="C553" s="38"/>
      <c r="D553" s="85"/>
      <c r="E553" s="90" t="s">
        <v>21</v>
      </c>
      <c r="F553" s="91"/>
      <c r="G553" s="92"/>
      <c r="H553" s="49">
        <f>ROUNDUP((H552+H551)/32,0)</f>
        <v>10</v>
      </c>
      <c r="I553" s="38" t="s">
        <v>22</v>
      </c>
      <c r="J553" s="53"/>
      <c r="K553" s="51"/>
      <c r="L553" s="43"/>
      <c r="M553" s="150"/>
    </row>
    <row r="554" spans="1:13" s="13" customFormat="1" x14ac:dyDescent="0.2">
      <c r="A554" s="36" t="str">
        <f>IF(F554&lt;&gt;"",1+MAX($A$1:A553),"")</f>
        <v/>
      </c>
      <c r="B554" s="44"/>
      <c r="C554" s="38"/>
      <c r="D554" s="85"/>
      <c r="E554" s="90" t="s">
        <v>23</v>
      </c>
      <c r="F554" s="91"/>
      <c r="G554" s="92"/>
      <c r="H554" s="49">
        <f>ROUNDUP(H553*24/500,0)</f>
        <v>1</v>
      </c>
      <c r="I554" s="38" t="s">
        <v>24</v>
      </c>
      <c r="J554" s="53"/>
      <c r="K554" s="51"/>
      <c r="L554" s="43"/>
      <c r="M554" s="150"/>
    </row>
    <row r="555" spans="1:13" s="13" customFormat="1" x14ac:dyDescent="0.2">
      <c r="A555" s="36" t="str">
        <f>IF(F555&lt;&gt;"",1+MAX($A$1:A554),"")</f>
        <v/>
      </c>
      <c r="B555" s="44"/>
      <c r="C555" s="38"/>
      <c r="D555" s="85"/>
      <c r="E555" s="90" t="s">
        <v>25</v>
      </c>
      <c r="F555" s="91"/>
      <c r="G555" s="92"/>
      <c r="H555" s="101">
        <f>ROUNDUP((H552+H551)/200,0)</f>
        <v>2</v>
      </c>
      <c r="I555" s="38" t="s">
        <v>26</v>
      </c>
      <c r="J555" s="53"/>
      <c r="K555" s="51"/>
      <c r="L555" s="43"/>
      <c r="M555" s="150"/>
    </row>
    <row r="556" spans="1:13" s="13" customFormat="1" x14ac:dyDescent="0.2">
      <c r="A556" s="36" t="str">
        <f>IF(F556&lt;&gt;"",1+MAX($A$1:A555),"")</f>
        <v/>
      </c>
      <c r="B556" s="44"/>
      <c r="C556" s="38"/>
      <c r="D556" s="85"/>
      <c r="E556" s="90" t="s">
        <v>27</v>
      </c>
      <c r="F556" s="91"/>
      <c r="G556" s="92"/>
      <c r="H556" s="101">
        <f>ROUNDUP((H552+H551)*5.25/1000,0)</f>
        <v>2</v>
      </c>
      <c r="I556" s="38" t="s">
        <v>28</v>
      </c>
      <c r="J556" s="53"/>
      <c r="K556" s="51"/>
      <c r="L556" s="43"/>
      <c r="M556" s="150"/>
    </row>
    <row r="557" spans="1:13" s="13" customFormat="1" x14ac:dyDescent="0.2">
      <c r="A557" s="36">
        <f>IF(F557&lt;&gt;"",1+MAX($A$1:A556),"")</f>
        <v>319</v>
      </c>
      <c r="B557" s="44" t="s">
        <v>82</v>
      </c>
      <c r="C557" s="38" t="s">
        <v>89</v>
      </c>
      <c r="D557" s="85"/>
      <c r="E557" s="24" t="s">
        <v>88</v>
      </c>
      <c r="F557" s="47">
        <f>14.3*4</f>
        <v>57.2</v>
      </c>
      <c r="G557" s="48">
        <v>0.1</v>
      </c>
      <c r="H557" s="49">
        <f t="shared" ref="H557:H558" si="154">F557*(1+G557)</f>
        <v>62.920000000000009</v>
      </c>
      <c r="I557" s="38" t="s">
        <v>13</v>
      </c>
      <c r="J557" s="53">
        <f>J$490</f>
        <v>0</v>
      </c>
      <c r="K557" s="51">
        <f t="shared" ref="K557:K558" si="155">J557*H557</f>
        <v>0</v>
      </c>
      <c r="L557" s="43"/>
      <c r="M557" s="150"/>
    </row>
    <row r="558" spans="1:13" s="13" customFormat="1" x14ac:dyDescent="0.2">
      <c r="A558" s="36">
        <f>IF(F558&lt;&gt;"",1+MAX($A$1:A557),"")</f>
        <v>320</v>
      </c>
      <c r="B558" s="44" t="s">
        <v>82</v>
      </c>
      <c r="C558" s="38" t="s">
        <v>89</v>
      </c>
      <c r="D558" s="85"/>
      <c r="E558" s="24" t="s">
        <v>96</v>
      </c>
      <c r="F558" s="47">
        <f t="shared" ref="F558" si="156">14.3*10</f>
        <v>143</v>
      </c>
      <c r="G558" s="48">
        <v>0.1</v>
      </c>
      <c r="H558" s="49">
        <f t="shared" si="154"/>
        <v>157.30000000000001</v>
      </c>
      <c r="I558" s="38" t="s">
        <v>16</v>
      </c>
      <c r="J558" s="53">
        <v>0</v>
      </c>
      <c r="K558" s="51">
        <f t="shared" si="155"/>
        <v>0</v>
      </c>
      <c r="L558" s="43"/>
      <c r="M558" s="150"/>
    </row>
    <row r="559" spans="1:13" s="13" customFormat="1" x14ac:dyDescent="0.2">
      <c r="A559" s="36" t="str">
        <f>IF(F559&lt;&gt;"",1+MAX($A$1:A558),"")</f>
        <v/>
      </c>
      <c r="B559" s="44"/>
      <c r="C559" s="38"/>
      <c r="D559" s="85"/>
      <c r="E559" s="90"/>
      <c r="F559" s="91"/>
      <c r="G559" s="92"/>
      <c r="H559" s="49"/>
      <c r="I559" s="38"/>
      <c r="J559" s="53"/>
      <c r="K559" s="51"/>
      <c r="L559" s="43"/>
      <c r="M559" s="150"/>
    </row>
    <row r="560" spans="1:13" s="13" customFormat="1" x14ac:dyDescent="0.2">
      <c r="A560" s="36" t="str">
        <f>IF(F560&lt;&gt;"",1+MAX($A$1:A559),"")</f>
        <v/>
      </c>
      <c r="B560" s="44"/>
      <c r="C560" s="38"/>
      <c r="D560" s="85"/>
      <c r="E560" s="88" t="s">
        <v>100</v>
      </c>
      <c r="F560" s="47"/>
      <c r="G560" s="87"/>
      <c r="H560" s="49"/>
      <c r="I560" s="38"/>
      <c r="J560" s="53"/>
      <c r="K560" s="51"/>
      <c r="L560" s="43"/>
      <c r="M560" s="150"/>
    </row>
    <row r="561" spans="1:13" s="13" customFormat="1" x14ac:dyDescent="0.2">
      <c r="A561" s="36">
        <f>IF(F561&lt;&gt;"",1+MAX($A$1:A560),"")</f>
        <v>321</v>
      </c>
      <c r="B561" s="44" t="s">
        <v>82</v>
      </c>
      <c r="C561" s="38" t="s">
        <v>89</v>
      </c>
      <c r="D561" s="89"/>
      <c r="E561" s="24" t="s">
        <v>95</v>
      </c>
      <c r="F561" s="47">
        <f>67*10*2</f>
        <v>1340</v>
      </c>
      <c r="G561" s="48">
        <v>0.1</v>
      </c>
      <c r="H561" s="49">
        <f>F561*(1+G561)</f>
        <v>1474.0000000000002</v>
      </c>
      <c r="I561" s="38" t="s">
        <v>16</v>
      </c>
      <c r="J561" s="53">
        <f>J$512</f>
        <v>0</v>
      </c>
      <c r="K561" s="51">
        <f>J561*H561</f>
        <v>0</v>
      </c>
      <c r="L561" s="43"/>
      <c r="M561" s="150"/>
    </row>
    <row r="562" spans="1:13" s="13" customFormat="1" x14ac:dyDescent="0.2">
      <c r="A562" s="36" t="str">
        <f>IF(F562&lt;&gt;"",1+MAX($A$1:A561),"")</f>
        <v/>
      </c>
      <c r="B562" s="44"/>
      <c r="C562" s="38"/>
      <c r="D562" s="85"/>
      <c r="E562" s="90" t="s">
        <v>21</v>
      </c>
      <c r="F562" s="91"/>
      <c r="G562" s="92"/>
      <c r="H562" s="49">
        <f>ROUNDUP((H561)/32,0)</f>
        <v>47</v>
      </c>
      <c r="I562" s="38" t="s">
        <v>22</v>
      </c>
      <c r="J562" s="53"/>
      <c r="K562" s="51"/>
      <c r="L562" s="43"/>
      <c r="M562" s="150"/>
    </row>
    <row r="563" spans="1:13" s="13" customFormat="1" x14ac:dyDescent="0.2">
      <c r="A563" s="36" t="str">
        <f>IF(F563&lt;&gt;"",1+MAX($A$1:A562),"")</f>
        <v/>
      </c>
      <c r="B563" s="44"/>
      <c r="C563" s="38"/>
      <c r="D563" s="85"/>
      <c r="E563" s="90" t="s">
        <v>23</v>
      </c>
      <c r="F563" s="91"/>
      <c r="G563" s="92"/>
      <c r="H563" s="49">
        <f>ROUNDUP(H562*24/500,0)</f>
        <v>3</v>
      </c>
      <c r="I563" s="38" t="s">
        <v>24</v>
      </c>
      <c r="J563" s="53"/>
      <c r="K563" s="51"/>
      <c r="L563" s="43"/>
      <c r="M563" s="150"/>
    </row>
    <row r="564" spans="1:13" s="13" customFormat="1" x14ac:dyDescent="0.2">
      <c r="A564" s="36" t="str">
        <f>IF(F564&lt;&gt;"",1+MAX($A$1:A563),"")</f>
        <v/>
      </c>
      <c r="B564" s="44"/>
      <c r="C564" s="38"/>
      <c r="D564" s="85"/>
      <c r="E564" s="90" t="s">
        <v>25</v>
      </c>
      <c r="F564" s="91"/>
      <c r="G564" s="92"/>
      <c r="H564" s="101">
        <f>ROUNDUP((H561)/200,0)</f>
        <v>8</v>
      </c>
      <c r="I564" s="38" t="s">
        <v>26</v>
      </c>
      <c r="J564" s="53"/>
      <c r="K564" s="51"/>
      <c r="L564" s="43"/>
      <c r="M564" s="150"/>
    </row>
    <row r="565" spans="1:13" s="13" customFormat="1" x14ac:dyDescent="0.2">
      <c r="A565" s="36" t="str">
        <f>IF(F565&lt;&gt;"",1+MAX($A$1:A564),"")</f>
        <v/>
      </c>
      <c r="B565" s="44"/>
      <c r="C565" s="38"/>
      <c r="D565" s="85"/>
      <c r="E565" s="90" t="s">
        <v>27</v>
      </c>
      <c r="F565" s="91"/>
      <c r="G565" s="92"/>
      <c r="H565" s="101">
        <f>ROUNDUP((H561)*5.25/1000,0)</f>
        <v>8</v>
      </c>
      <c r="I565" s="38" t="s">
        <v>28</v>
      </c>
      <c r="J565" s="53"/>
      <c r="K565" s="51"/>
      <c r="L565" s="43"/>
      <c r="M565" s="150"/>
    </row>
    <row r="566" spans="1:13" s="13" customFormat="1" x14ac:dyDescent="0.2">
      <c r="A566" s="36">
        <f>IF(F566&lt;&gt;"",1+MAX($A$1:A565),"")</f>
        <v>322</v>
      </c>
      <c r="B566" s="44" t="s">
        <v>82</v>
      </c>
      <c r="C566" s="38" t="s">
        <v>89</v>
      </c>
      <c r="D566" s="85"/>
      <c r="E566" s="24" t="s">
        <v>88</v>
      </c>
      <c r="F566" s="47">
        <f>67*4</f>
        <v>268</v>
      </c>
      <c r="G566" s="48">
        <v>0.1</v>
      </c>
      <c r="H566" s="49">
        <f t="shared" ref="H566:H568" si="157">F566*(1+G566)</f>
        <v>294.8</v>
      </c>
      <c r="I566" s="38" t="s">
        <v>13</v>
      </c>
      <c r="J566" s="53">
        <f>J$490</f>
        <v>0</v>
      </c>
      <c r="K566" s="51">
        <f t="shared" ref="K566:K568" si="158">J566*H566</f>
        <v>0</v>
      </c>
      <c r="L566" s="43"/>
      <c r="M566" s="150"/>
    </row>
    <row r="567" spans="1:13" s="13" customFormat="1" x14ac:dyDescent="0.2">
      <c r="A567" s="36">
        <f>IF(F567&lt;&gt;"",1+MAX($A$1:A566),"")</f>
        <v>323</v>
      </c>
      <c r="B567" s="44" t="s">
        <v>82</v>
      </c>
      <c r="C567" s="38" t="s">
        <v>89</v>
      </c>
      <c r="D567" s="85"/>
      <c r="E567" s="24" t="s">
        <v>96</v>
      </c>
      <c r="F567" s="47">
        <f>67*12</f>
        <v>804</v>
      </c>
      <c r="G567" s="48">
        <v>0.1</v>
      </c>
      <c r="H567" s="49">
        <f t="shared" si="157"/>
        <v>884.40000000000009</v>
      </c>
      <c r="I567" s="38" t="s">
        <v>16</v>
      </c>
      <c r="J567" s="53">
        <f>J$558</f>
        <v>0</v>
      </c>
      <c r="K567" s="51">
        <f t="shared" si="158"/>
        <v>0</v>
      </c>
      <c r="L567" s="43"/>
      <c r="M567" s="150"/>
    </row>
    <row r="568" spans="1:13" s="13" customFormat="1" x14ac:dyDescent="0.2">
      <c r="A568" s="36">
        <f>IF(F568&lt;&gt;"",1+MAX($A$1:A567),"")</f>
        <v>324</v>
      </c>
      <c r="B568" s="44" t="s">
        <v>82</v>
      </c>
      <c r="C568" s="38" t="s">
        <v>89</v>
      </c>
      <c r="D568" s="85"/>
      <c r="E568" s="24" t="s">
        <v>97</v>
      </c>
      <c r="F568" s="47">
        <f>67*10</f>
        <v>670</v>
      </c>
      <c r="G568" s="48">
        <v>0.1</v>
      </c>
      <c r="H568" s="49">
        <f t="shared" si="157"/>
        <v>737.00000000000011</v>
      </c>
      <c r="I568" s="38" t="s">
        <v>16</v>
      </c>
      <c r="J568" s="53">
        <v>0</v>
      </c>
      <c r="K568" s="51">
        <f t="shared" si="158"/>
        <v>0</v>
      </c>
      <c r="L568" s="43"/>
      <c r="M568" s="150"/>
    </row>
    <row r="569" spans="1:13" s="13" customFormat="1" x14ac:dyDescent="0.2">
      <c r="A569" s="36" t="str">
        <f>IF(F569&lt;&gt;"",1+MAX($A$1:A568),"")</f>
        <v/>
      </c>
      <c r="B569" s="44"/>
      <c r="C569" s="38"/>
      <c r="D569" s="85"/>
      <c r="E569" s="90"/>
      <c r="F569" s="91"/>
      <c r="G569" s="92"/>
      <c r="H569" s="49"/>
      <c r="I569" s="38"/>
      <c r="J569" s="53"/>
      <c r="K569" s="51"/>
      <c r="L569" s="43"/>
      <c r="M569" s="150"/>
    </row>
    <row r="570" spans="1:13" s="13" customFormat="1" x14ac:dyDescent="0.2">
      <c r="A570" s="36" t="str">
        <f>IF(F570&lt;&gt;"",1+MAX($A$1:A569),"")</f>
        <v/>
      </c>
      <c r="B570" s="44"/>
      <c r="C570" s="38"/>
      <c r="D570" s="85"/>
      <c r="E570" s="88" t="s">
        <v>101</v>
      </c>
      <c r="F570" s="47"/>
      <c r="G570" s="87"/>
      <c r="H570" s="49"/>
      <c r="I570" s="38"/>
      <c r="J570" s="53"/>
      <c r="K570" s="51"/>
      <c r="L570" s="43"/>
      <c r="M570" s="150"/>
    </row>
    <row r="571" spans="1:13" s="13" customFormat="1" x14ac:dyDescent="0.2">
      <c r="A571" s="36">
        <f>IF(F571&lt;&gt;"",1+MAX($A$1:A570),"")</f>
        <v>325</v>
      </c>
      <c r="B571" s="44" t="s">
        <v>82</v>
      </c>
      <c r="C571" s="38" t="s">
        <v>89</v>
      </c>
      <c r="D571" s="89"/>
      <c r="E571" s="24" t="s">
        <v>95</v>
      </c>
      <c r="F571" s="47">
        <f>102.6*10*2</f>
        <v>2052</v>
      </c>
      <c r="G571" s="48">
        <v>0.1</v>
      </c>
      <c r="H571" s="49">
        <f>F571*(1+G571)</f>
        <v>2257.2000000000003</v>
      </c>
      <c r="I571" s="38" t="s">
        <v>16</v>
      </c>
      <c r="J571" s="53">
        <f>J$512</f>
        <v>0</v>
      </c>
      <c r="K571" s="51">
        <f>J571*H571</f>
        <v>0</v>
      </c>
      <c r="L571" s="43"/>
      <c r="M571" s="150"/>
    </row>
    <row r="572" spans="1:13" s="13" customFormat="1" x14ac:dyDescent="0.2">
      <c r="A572" s="36" t="str">
        <f>IF(F572&lt;&gt;"",1+MAX($A$1:A571),"")</f>
        <v/>
      </c>
      <c r="B572" s="44"/>
      <c r="C572" s="38"/>
      <c r="D572" s="85"/>
      <c r="E572" s="90" t="s">
        <v>21</v>
      </c>
      <c r="F572" s="91"/>
      <c r="G572" s="92"/>
      <c r="H572" s="49">
        <f>ROUNDUP((H571)/32,0)</f>
        <v>71</v>
      </c>
      <c r="I572" s="38" t="s">
        <v>22</v>
      </c>
      <c r="J572" s="53"/>
      <c r="K572" s="51"/>
      <c r="L572" s="43"/>
      <c r="M572" s="150"/>
    </row>
    <row r="573" spans="1:13" s="13" customFormat="1" x14ac:dyDescent="0.2">
      <c r="A573" s="36" t="str">
        <f>IF(F573&lt;&gt;"",1+MAX($A$1:A572),"")</f>
        <v/>
      </c>
      <c r="B573" s="44"/>
      <c r="C573" s="38"/>
      <c r="D573" s="85"/>
      <c r="E573" s="90" t="s">
        <v>23</v>
      </c>
      <c r="F573" s="91"/>
      <c r="G573" s="92"/>
      <c r="H573" s="49">
        <f>ROUNDUP(H572*24/500,0)</f>
        <v>4</v>
      </c>
      <c r="I573" s="38" t="s">
        <v>24</v>
      </c>
      <c r="J573" s="53"/>
      <c r="K573" s="51"/>
      <c r="L573" s="43"/>
      <c r="M573" s="150"/>
    </row>
    <row r="574" spans="1:13" s="13" customFormat="1" x14ac:dyDescent="0.2">
      <c r="A574" s="36" t="str">
        <f>IF(F574&lt;&gt;"",1+MAX($A$1:A573),"")</f>
        <v/>
      </c>
      <c r="B574" s="44"/>
      <c r="C574" s="38"/>
      <c r="D574" s="85"/>
      <c r="E574" s="90" t="s">
        <v>25</v>
      </c>
      <c r="F574" s="91"/>
      <c r="G574" s="92"/>
      <c r="H574" s="101">
        <f>ROUNDUP((H571)/200,0)</f>
        <v>12</v>
      </c>
      <c r="I574" s="38" t="s">
        <v>26</v>
      </c>
      <c r="J574" s="53"/>
      <c r="K574" s="51"/>
      <c r="L574" s="43"/>
      <c r="M574" s="150"/>
    </row>
    <row r="575" spans="1:13" s="13" customFormat="1" x14ac:dyDescent="0.2">
      <c r="A575" s="36" t="str">
        <f>IF(F575&lt;&gt;"",1+MAX($A$1:A574),"")</f>
        <v/>
      </c>
      <c r="B575" s="44"/>
      <c r="C575" s="38"/>
      <c r="D575" s="85"/>
      <c r="E575" s="90" t="s">
        <v>27</v>
      </c>
      <c r="F575" s="91"/>
      <c r="G575" s="92"/>
      <c r="H575" s="101">
        <f>ROUNDUP((H571)*5.25/1000,0)</f>
        <v>12</v>
      </c>
      <c r="I575" s="38" t="s">
        <v>28</v>
      </c>
      <c r="J575" s="53"/>
      <c r="K575" s="51"/>
      <c r="L575" s="43"/>
      <c r="M575" s="150"/>
    </row>
    <row r="576" spans="1:13" s="13" customFormat="1" x14ac:dyDescent="0.2">
      <c r="A576" s="36">
        <f>IF(F576&lt;&gt;"",1+MAX($A$1:A575),"")</f>
        <v>326</v>
      </c>
      <c r="B576" s="44" t="s">
        <v>82</v>
      </c>
      <c r="C576" s="38" t="s">
        <v>89</v>
      </c>
      <c r="D576" s="85"/>
      <c r="E576" s="24" t="s">
        <v>88</v>
      </c>
      <c r="F576" s="47">
        <f>102.6*4</f>
        <v>410.4</v>
      </c>
      <c r="G576" s="48">
        <v>0.1</v>
      </c>
      <c r="H576" s="49">
        <f t="shared" ref="H576:H578" si="159">F576*(1+G576)</f>
        <v>451.44</v>
      </c>
      <c r="I576" s="38" t="s">
        <v>13</v>
      </c>
      <c r="J576" s="53">
        <f>J$490</f>
        <v>0</v>
      </c>
      <c r="K576" s="51">
        <f t="shared" ref="K576:K578" si="160">J576*H576</f>
        <v>0</v>
      </c>
      <c r="L576" s="43"/>
      <c r="M576" s="150"/>
    </row>
    <row r="577" spans="1:13" s="13" customFormat="1" x14ac:dyDescent="0.2">
      <c r="A577" s="36">
        <f>IF(F577&lt;&gt;"",1+MAX($A$1:A576),"")</f>
        <v>327</v>
      </c>
      <c r="B577" s="44" t="s">
        <v>82</v>
      </c>
      <c r="C577" s="38" t="s">
        <v>89</v>
      </c>
      <c r="D577" s="85"/>
      <c r="E577" s="24" t="s">
        <v>96</v>
      </c>
      <c r="F577" s="47">
        <f>102.6*12</f>
        <v>1231.1999999999998</v>
      </c>
      <c r="G577" s="48">
        <v>0.1</v>
      </c>
      <c r="H577" s="49">
        <f t="shared" si="159"/>
        <v>1354.32</v>
      </c>
      <c r="I577" s="38" t="s">
        <v>16</v>
      </c>
      <c r="J577" s="53">
        <f>J$558</f>
        <v>0</v>
      </c>
      <c r="K577" s="51">
        <f t="shared" si="160"/>
        <v>0</v>
      </c>
      <c r="L577" s="43"/>
      <c r="M577" s="150"/>
    </row>
    <row r="578" spans="1:13" s="13" customFormat="1" x14ac:dyDescent="0.2">
      <c r="A578" s="36">
        <f>IF(F578&lt;&gt;"",1+MAX($A$1:A577),"")</f>
        <v>328</v>
      </c>
      <c r="B578" s="44" t="s">
        <v>82</v>
      </c>
      <c r="C578" s="38" t="s">
        <v>89</v>
      </c>
      <c r="D578" s="85"/>
      <c r="E578" s="24" t="s">
        <v>97</v>
      </c>
      <c r="F578" s="47">
        <f t="shared" ref="F578" si="161">102.6*10</f>
        <v>1026</v>
      </c>
      <c r="G578" s="48">
        <v>0.1</v>
      </c>
      <c r="H578" s="49">
        <f t="shared" si="159"/>
        <v>1128.6000000000001</v>
      </c>
      <c r="I578" s="38" t="s">
        <v>16</v>
      </c>
      <c r="J578" s="53">
        <f>J$568</f>
        <v>0</v>
      </c>
      <c r="K578" s="51">
        <f t="shared" si="160"/>
        <v>0</v>
      </c>
      <c r="L578" s="43"/>
      <c r="M578" s="150"/>
    </row>
    <row r="579" spans="1:13" s="13" customFormat="1" x14ac:dyDescent="0.2">
      <c r="A579" s="36" t="str">
        <f>IF(F579&lt;&gt;"",1+MAX($A$1:A578),"")</f>
        <v/>
      </c>
      <c r="B579" s="44"/>
      <c r="C579" s="38"/>
      <c r="D579" s="85"/>
      <c r="E579" s="90"/>
      <c r="F579" s="91"/>
      <c r="G579" s="92"/>
      <c r="H579" s="49"/>
      <c r="I579" s="38"/>
      <c r="J579" s="53"/>
      <c r="K579" s="51"/>
      <c r="L579" s="43"/>
      <c r="M579" s="150"/>
    </row>
    <row r="580" spans="1:13" s="13" customFormat="1" x14ac:dyDescent="0.2">
      <c r="A580" s="36" t="str">
        <f>IF(F580&lt;&gt;"",1+MAX($A$1:A579),"")</f>
        <v/>
      </c>
      <c r="B580" s="44"/>
      <c r="C580" s="38"/>
      <c r="D580" s="85"/>
      <c r="E580" s="88" t="s">
        <v>102</v>
      </c>
      <c r="F580" s="47"/>
      <c r="G580" s="87"/>
      <c r="H580" s="49"/>
      <c r="I580" s="38"/>
      <c r="J580" s="53"/>
      <c r="K580" s="51"/>
      <c r="L580" s="43"/>
      <c r="M580" s="150"/>
    </row>
    <row r="581" spans="1:13" s="13" customFormat="1" x14ac:dyDescent="0.2">
      <c r="A581" s="36">
        <f>IF(F581&lt;&gt;"",1+MAX($A$1:A580),"")</f>
        <v>329</v>
      </c>
      <c r="B581" s="44" t="s">
        <v>82</v>
      </c>
      <c r="C581" s="38" t="s">
        <v>89</v>
      </c>
      <c r="D581" s="89"/>
      <c r="E581" s="24" t="s">
        <v>95</v>
      </c>
      <c r="F581" s="47">
        <f>21.3*10</f>
        <v>213</v>
      </c>
      <c r="G581" s="48">
        <v>0.1</v>
      </c>
      <c r="H581" s="49">
        <f>F581*(1+G581)</f>
        <v>234.3</v>
      </c>
      <c r="I581" s="38" t="s">
        <v>16</v>
      </c>
      <c r="J581" s="53">
        <f>J$512</f>
        <v>0</v>
      </c>
      <c r="K581" s="51">
        <f>J581*H581</f>
        <v>0</v>
      </c>
      <c r="L581" s="43"/>
      <c r="M581" s="150"/>
    </row>
    <row r="582" spans="1:13" s="13" customFormat="1" x14ac:dyDescent="0.2">
      <c r="A582" s="36">
        <f>IF(F582&lt;&gt;"",1+MAX($A$1:A581),"")</f>
        <v>330</v>
      </c>
      <c r="B582" s="44" t="s">
        <v>82</v>
      </c>
      <c r="C582" s="38" t="s">
        <v>89</v>
      </c>
      <c r="D582" s="89"/>
      <c r="E582" s="24" t="s">
        <v>135</v>
      </c>
      <c r="F582" s="47">
        <f>21.3*10</f>
        <v>213</v>
      </c>
      <c r="G582" s="48">
        <v>0.1</v>
      </c>
      <c r="H582" s="49">
        <f>F582*(1+G582)</f>
        <v>234.3</v>
      </c>
      <c r="I582" s="38" t="s">
        <v>16</v>
      </c>
      <c r="J582" s="53">
        <v>0</v>
      </c>
      <c r="K582" s="51">
        <f>J582*H582</f>
        <v>0</v>
      </c>
      <c r="L582" s="43"/>
      <c r="M582" s="150"/>
    </row>
    <row r="583" spans="1:13" s="13" customFormat="1" x14ac:dyDescent="0.2">
      <c r="A583" s="36" t="str">
        <f>IF(F583&lt;&gt;"",1+MAX($A$1:A582),"")</f>
        <v/>
      </c>
      <c r="B583" s="44"/>
      <c r="C583" s="38"/>
      <c r="D583" s="85"/>
      <c r="E583" s="90" t="s">
        <v>21</v>
      </c>
      <c r="F583" s="91"/>
      <c r="G583" s="92"/>
      <c r="H583" s="49">
        <f>ROUNDUP((H582+H581)/32,0)</f>
        <v>15</v>
      </c>
      <c r="I583" s="38" t="s">
        <v>22</v>
      </c>
      <c r="J583" s="53"/>
      <c r="K583" s="51"/>
      <c r="L583" s="43"/>
      <c r="M583" s="150"/>
    </row>
    <row r="584" spans="1:13" s="13" customFormat="1" x14ac:dyDescent="0.2">
      <c r="A584" s="36" t="str">
        <f>IF(F584&lt;&gt;"",1+MAX($A$1:A583),"")</f>
        <v/>
      </c>
      <c r="B584" s="44"/>
      <c r="C584" s="38"/>
      <c r="D584" s="85"/>
      <c r="E584" s="90" t="s">
        <v>23</v>
      </c>
      <c r="F584" s="91"/>
      <c r="G584" s="92"/>
      <c r="H584" s="49">
        <f>ROUNDUP(H583*24/500,0)</f>
        <v>1</v>
      </c>
      <c r="I584" s="38" t="s">
        <v>24</v>
      </c>
      <c r="J584" s="53"/>
      <c r="K584" s="51"/>
      <c r="L584" s="43"/>
      <c r="M584" s="150"/>
    </row>
    <row r="585" spans="1:13" s="13" customFormat="1" x14ac:dyDescent="0.2">
      <c r="A585" s="36" t="str">
        <f>IF(F585&lt;&gt;"",1+MAX($A$1:A584),"")</f>
        <v/>
      </c>
      <c r="B585" s="44"/>
      <c r="C585" s="38"/>
      <c r="D585" s="85"/>
      <c r="E585" s="90" t="s">
        <v>25</v>
      </c>
      <c r="F585" s="91"/>
      <c r="G585" s="92"/>
      <c r="H585" s="101">
        <f>ROUNDUP((H582+H581)/200,0)</f>
        <v>3</v>
      </c>
      <c r="I585" s="38" t="s">
        <v>26</v>
      </c>
      <c r="J585" s="53"/>
      <c r="K585" s="51"/>
      <c r="L585" s="43"/>
      <c r="M585" s="150"/>
    </row>
    <row r="586" spans="1:13" s="13" customFormat="1" x14ac:dyDescent="0.2">
      <c r="A586" s="36" t="str">
        <f>IF(F586&lt;&gt;"",1+MAX($A$1:A585),"")</f>
        <v/>
      </c>
      <c r="B586" s="44"/>
      <c r="C586" s="38"/>
      <c r="D586" s="85"/>
      <c r="E586" s="90" t="s">
        <v>27</v>
      </c>
      <c r="F586" s="91"/>
      <c r="G586" s="92"/>
      <c r="H586" s="101">
        <f>ROUNDUP((H582+H581)*5.25/1000,0)</f>
        <v>3</v>
      </c>
      <c r="I586" s="38" t="s">
        <v>28</v>
      </c>
      <c r="J586" s="53"/>
      <c r="K586" s="51"/>
      <c r="L586" s="43"/>
      <c r="M586" s="150"/>
    </row>
    <row r="587" spans="1:13" s="13" customFormat="1" x14ac:dyDescent="0.2">
      <c r="A587" s="36">
        <f>IF(F587&lt;&gt;"",1+MAX($A$1:A586),"")</f>
        <v>331</v>
      </c>
      <c r="B587" s="44" t="s">
        <v>82</v>
      </c>
      <c r="C587" s="38" t="s">
        <v>89</v>
      </c>
      <c r="D587" s="85"/>
      <c r="E587" s="24" t="s">
        <v>88</v>
      </c>
      <c r="F587" s="47">
        <f>21.3*4</f>
        <v>85.2</v>
      </c>
      <c r="G587" s="48">
        <v>0.1</v>
      </c>
      <c r="H587" s="49">
        <f t="shared" ref="H587:H589" si="162">F587*(1+G587)</f>
        <v>93.720000000000013</v>
      </c>
      <c r="I587" s="38" t="s">
        <v>13</v>
      </c>
      <c r="J587" s="53">
        <f>J$490</f>
        <v>0</v>
      </c>
      <c r="K587" s="51">
        <f t="shared" ref="K587:K589" si="163">J587*H587</f>
        <v>0</v>
      </c>
      <c r="L587" s="43"/>
      <c r="M587" s="150"/>
    </row>
    <row r="588" spans="1:13" s="13" customFormat="1" x14ac:dyDescent="0.2">
      <c r="A588" s="36">
        <f>IF(F588&lt;&gt;"",1+MAX($A$1:A587),"")</f>
        <v>332</v>
      </c>
      <c r="B588" s="44" t="s">
        <v>82</v>
      </c>
      <c r="C588" s="38" t="s">
        <v>89</v>
      </c>
      <c r="D588" s="85"/>
      <c r="E588" s="24" t="s">
        <v>96</v>
      </c>
      <c r="F588" s="47">
        <f t="shared" ref="F588:F589" si="164">21.3*10</f>
        <v>213</v>
      </c>
      <c r="G588" s="48">
        <v>0.1</v>
      </c>
      <c r="H588" s="49">
        <f t="shared" si="162"/>
        <v>234.3</v>
      </c>
      <c r="I588" s="38" t="s">
        <v>16</v>
      </c>
      <c r="J588" s="53">
        <f>J$558</f>
        <v>0</v>
      </c>
      <c r="K588" s="51">
        <f t="shared" si="163"/>
        <v>0</v>
      </c>
      <c r="L588" s="43"/>
      <c r="M588" s="150"/>
    </row>
    <row r="589" spans="1:13" s="13" customFormat="1" x14ac:dyDescent="0.2">
      <c r="A589" s="36">
        <f>IF(F589&lt;&gt;"",1+MAX($A$1:A588),"")</f>
        <v>333</v>
      </c>
      <c r="B589" s="44" t="s">
        <v>82</v>
      </c>
      <c r="C589" s="38" t="s">
        <v>89</v>
      </c>
      <c r="D589" s="85"/>
      <c r="E589" s="24" t="s">
        <v>97</v>
      </c>
      <c r="F589" s="47">
        <f t="shared" si="164"/>
        <v>213</v>
      </c>
      <c r="G589" s="48">
        <v>0.1</v>
      </c>
      <c r="H589" s="49">
        <f t="shared" si="162"/>
        <v>234.3</v>
      </c>
      <c r="I589" s="38" t="s">
        <v>16</v>
      </c>
      <c r="J589" s="53">
        <f>J$568</f>
        <v>0</v>
      </c>
      <c r="K589" s="51">
        <f t="shared" si="163"/>
        <v>0</v>
      </c>
      <c r="L589" s="43"/>
      <c r="M589" s="150"/>
    </row>
    <row r="590" spans="1:13" s="13" customFormat="1" x14ac:dyDescent="0.2">
      <c r="A590" s="36" t="str">
        <f>IF(F590&lt;&gt;"",1+MAX($A$1:A589),"")</f>
        <v/>
      </c>
      <c r="B590" s="44"/>
      <c r="C590" s="38"/>
      <c r="D590" s="85"/>
      <c r="E590" s="90"/>
      <c r="F590" s="91"/>
      <c r="G590" s="92"/>
      <c r="H590" s="49"/>
      <c r="I590" s="38"/>
      <c r="J590" s="53"/>
      <c r="K590" s="51"/>
      <c r="L590" s="43"/>
      <c r="M590" s="150"/>
    </row>
    <row r="591" spans="1:13" s="13" customFormat="1" x14ac:dyDescent="0.2">
      <c r="A591" s="36" t="str">
        <f>IF(F591&lt;&gt;"",1+MAX($A$1:A590),"")</f>
        <v/>
      </c>
      <c r="B591" s="44"/>
      <c r="C591" s="38"/>
      <c r="D591" s="85"/>
      <c r="E591" s="88" t="s">
        <v>103</v>
      </c>
      <c r="F591" s="47"/>
      <c r="G591" s="87"/>
      <c r="H591" s="49"/>
      <c r="I591" s="38"/>
      <c r="J591" s="53"/>
      <c r="K591" s="51"/>
      <c r="L591" s="43"/>
      <c r="M591" s="150"/>
    </row>
    <row r="592" spans="1:13" s="13" customFormat="1" x14ac:dyDescent="0.2">
      <c r="A592" s="36">
        <f>IF(F592&lt;&gt;"",1+MAX($A$1:A591),"")</f>
        <v>334</v>
      </c>
      <c r="B592" s="44" t="s">
        <v>82</v>
      </c>
      <c r="C592" s="38" t="s">
        <v>89</v>
      </c>
      <c r="D592" s="89"/>
      <c r="E592" s="24" t="s">
        <v>105</v>
      </c>
      <c r="F592" s="47">
        <f>33.4*12*2</f>
        <v>801.59999999999991</v>
      </c>
      <c r="G592" s="48">
        <v>0.1</v>
      </c>
      <c r="H592" s="49">
        <f>F592*(1+G592)</f>
        <v>881.76</v>
      </c>
      <c r="I592" s="38" t="s">
        <v>16</v>
      </c>
      <c r="J592" s="53">
        <v>0</v>
      </c>
      <c r="K592" s="51">
        <f>J592*H592</f>
        <v>0</v>
      </c>
      <c r="L592" s="43"/>
      <c r="M592" s="150"/>
    </row>
    <row r="593" spans="1:13" s="13" customFormat="1" x14ac:dyDescent="0.2">
      <c r="A593" s="36" t="str">
        <f>IF(F593&lt;&gt;"",1+MAX($A$1:A592),"")</f>
        <v/>
      </c>
      <c r="B593" s="44"/>
      <c r="C593" s="38"/>
      <c r="D593" s="85"/>
      <c r="E593" s="90" t="s">
        <v>21</v>
      </c>
      <c r="F593" s="91"/>
      <c r="G593" s="92"/>
      <c r="H593" s="49">
        <f>ROUNDUP((H592)/32,0)</f>
        <v>28</v>
      </c>
      <c r="I593" s="38" t="s">
        <v>22</v>
      </c>
      <c r="J593" s="53"/>
      <c r="K593" s="51"/>
      <c r="L593" s="43"/>
      <c r="M593" s="150"/>
    </row>
    <row r="594" spans="1:13" s="13" customFormat="1" x14ac:dyDescent="0.2">
      <c r="A594" s="36" t="str">
        <f>IF(F594&lt;&gt;"",1+MAX($A$1:A593),"")</f>
        <v/>
      </c>
      <c r="B594" s="44"/>
      <c r="C594" s="38"/>
      <c r="D594" s="85"/>
      <c r="E594" s="90" t="s">
        <v>23</v>
      </c>
      <c r="F594" s="91"/>
      <c r="G594" s="92"/>
      <c r="H594" s="49">
        <f>ROUNDUP(H593*24/500,0)</f>
        <v>2</v>
      </c>
      <c r="I594" s="38" t="s">
        <v>24</v>
      </c>
      <c r="J594" s="53"/>
      <c r="K594" s="51"/>
      <c r="L594" s="43"/>
      <c r="M594" s="150"/>
    </row>
    <row r="595" spans="1:13" s="13" customFormat="1" x14ac:dyDescent="0.2">
      <c r="A595" s="36" t="str">
        <f>IF(F595&lt;&gt;"",1+MAX($A$1:A594),"")</f>
        <v/>
      </c>
      <c r="B595" s="44"/>
      <c r="C595" s="38"/>
      <c r="D595" s="85"/>
      <c r="E595" s="90" t="s">
        <v>25</v>
      </c>
      <c r="F595" s="91"/>
      <c r="G595" s="92"/>
      <c r="H595" s="101">
        <f>ROUNDUP((H592)/200,0)</f>
        <v>5</v>
      </c>
      <c r="I595" s="38" t="s">
        <v>26</v>
      </c>
      <c r="J595" s="53"/>
      <c r="K595" s="51"/>
      <c r="L595" s="43"/>
      <c r="M595" s="150"/>
    </row>
    <row r="596" spans="1:13" s="13" customFormat="1" x14ac:dyDescent="0.2">
      <c r="A596" s="36" t="str">
        <f>IF(F596&lt;&gt;"",1+MAX($A$1:A595),"")</f>
        <v/>
      </c>
      <c r="B596" s="44"/>
      <c r="C596" s="38"/>
      <c r="D596" s="85"/>
      <c r="E596" s="90" t="s">
        <v>27</v>
      </c>
      <c r="F596" s="91"/>
      <c r="G596" s="92"/>
      <c r="H596" s="101">
        <f>ROUNDUP((H592)*5.25/1000,0)</f>
        <v>5</v>
      </c>
      <c r="I596" s="38" t="s">
        <v>28</v>
      </c>
      <c r="J596" s="53"/>
      <c r="K596" s="51"/>
      <c r="L596" s="43"/>
      <c r="M596" s="150"/>
    </row>
    <row r="597" spans="1:13" s="13" customFormat="1" x14ac:dyDescent="0.2">
      <c r="A597" s="36">
        <f>IF(F597&lt;&gt;"",1+MAX($A$1:A596),"")</f>
        <v>335</v>
      </c>
      <c r="B597" s="44" t="s">
        <v>82</v>
      </c>
      <c r="C597" s="38" t="s">
        <v>89</v>
      </c>
      <c r="D597" s="85"/>
      <c r="E597" s="24" t="s">
        <v>88</v>
      </c>
      <c r="F597" s="47">
        <f>33.4*2</f>
        <v>66.8</v>
      </c>
      <c r="G597" s="48">
        <v>0.1</v>
      </c>
      <c r="H597" s="49">
        <f t="shared" ref="H597:H601" si="165">F597*(1+G597)</f>
        <v>73.48</v>
      </c>
      <c r="I597" s="38" t="s">
        <v>13</v>
      </c>
      <c r="J597" s="53">
        <f>J$490</f>
        <v>0</v>
      </c>
      <c r="K597" s="51">
        <f t="shared" ref="K597:K601" si="166">J597*H597</f>
        <v>0</v>
      </c>
      <c r="L597" s="43"/>
      <c r="M597" s="150"/>
    </row>
    <row r="598" spans="1:13" s="13" customFormat="1" x14ac:dyDescent="0.2">
      <c r="A598" s="36">
        <f>IF(F598&lt;&gt;"",1+MAX($A$1:A597),"")</f>
        <v>336</v>
      </c>
      <c r="B598" s="44" t="s">
        <v>82</v>
      </c>
      <c r="C598" s="38" t="s">
        <v>89</v>
      </c>
      <c r="D598" s="85"/>
      <c r="E598" s="24" t="s">
        <v>104</v>
      </c>
      <c r="F598" s="47">
        <f>33.4*12</f>
        <v>400.79999999999995</v>
      </c>
      <c r="G598" s="48">
        <v>0.1</v>
      </c>
      <c r="H598" s="49">
        <f t="shared" si="165"/>
        <v>440.88</v>
      </c>
      <c r="I598" s="38" t="s">
        <v>16</v>
      </c>
      <c r="J598" s="53">
        <v>0</v>
      </c>
      <c r="K598" s="51">
        <f t="shared" si="166"/>
        <v>0</v>
      </c>
      <c r="L598" s="43"/>
      <c r="M598" s="150"/>
    </row>
    <row r="599" spans="1:13" s="13" customFormat="1" x14ac:dyDescent="0.2">
      <c r="A599" s="36">
        <f>IF(F599&lt;&gt;"",1+MAX($A$1:A598),"")</f>
        <v>337</v>
      </c>
      <c r="B599" s="44" t="s">
        <v>82</v>
      </c>
      <c r="C599" s="38" t="s">
        <v>89</v>
      </c>
      <c r="D599" s="85"/>
      <c r="E599" s="24" t="s">
        <v>96</v>
      </c>
      <c r="F599" s="47">
        <f>33.4*12</f>
        <v>400.79999999999995</v>
      </c>
      <c r="G599" s="48">
        <v>0.1</v>
      </c>
      <c r="H599" s="49">
        <f t="shared" si="165"/>
        <v>440.88</v>
      </c>
      <c r="I599" s="38" t="s">
        <v>16</v>
      </c>
      <c r="J599" s="53">
        <f>J$558</f>
        <v>0</v>
      </c>
      <c r="K599" s="51">
        <f t="shared" si="166"/>
        <v>0</v>
      </c>
      <c r="L599" s="43"/>
      <c r="M599" s="150"/>
    </row>
    <row r="600" spans="1:13" s="13" customFormat="1" x14ac:dyDescent="0.2">
      <c r="A600" s="36">
        <f>IF(F600&lt;&gt;"",1+MAX($A$1:A599),"")</f>
        <v>338</v>
      </c>
      <c r="B600" s="44" t="s">
        <v>82</v>
      </c>
      <c r="C600" s="38" t="s">
        <v>89</v>
      </c>
      <c r="D600" s="85"/>
      <c r="E600" s="24" t="s">
        <v>106</v>
      </c>
      <c r="F600" s="47">
        <f>33.4*12</f>
        <v>400.79999999999995</v>
      </c>
      <c r="G600" s="48">
        <v>0.1</v>
      </c>
      <c r="H600" s="49">
        <f t="shared" si="165"/>
        <v>440.88</v>
      </c>
      <c r="I600" s="38" t="s">
        <v>16</v>
      </c>
      <c r="J600" s="53">
        <v>0</v>
      </c>
      <c r="K600" s="51">
        <f t="shared" si="166"/>
        <v>0</v>
      </c>
      <c r="L600" s="43"/>
      <c r="M600" s="150"/>
    </row>
    <row r="601" spans="1:13" s="13" customFormat="1" x14ac:dyDescent="0.2">
      <c r="A601" s="36">
        <f>IF(F601&lt;&gt;"",1+MAX($A$1:A600),"")</f>
        <v>339</v>
      </c>
      <c r="B601" s="44" t="s">
        <v>82</v>
      </c>
      <c r="C601" s="38" t="s">
        <v>89</v>
      </c>
      <c r="D601" s="85"/>
      <c r="E601" s="24" t="s">
        <v>107</v>
      </c>
      <c r="F601" s="47">
        <f>33.4*2</f>
        <v>66.8</v>
      </c>
      <c r="G601" s="48">
        <v>0.1</v>
      </c>
      <c r="H601" s="49">
        <f t="shared" si="165"/>
        <v>73.48</v>
      </c>
      <c r="I601" s="38" t="s">
        <v>16</v>
      </c>
      <c r="J601" s="53">
        <v>0</v>
      </c>
      <c r="K601" s="51">
        <f t="shared" si="166"/>
        <v>0</v>
      </c>
      <c r="L601" s="43"/>
      <c r="M601" s="150"/>
    </row>
    <row r="602" spans="1:13" s="13" customFormat="1" x14ac:dyDescent="0.2">
      <c r="A602" s="36" t="str">
        <f>IF(F602&lt;&gt;"",1+MAX($A$1:A601),"")</f>
        <v/>
      </c>
      <c r="B602" s="44"/>
      <c r="C602" s="38"/>
      <c r="D602" s="85"/>
      <c r="E602" s="90"/>
      <c r="F602" s="91"/>
      <c r="G602" s="92"/>
      <c r="H602" s="49"/>
      <c r="I602" s="38"/>
      <c r="J602" s="53"/>
      <c r="K602" s="51"/>
      <c r="L602" s="43"/>
      <c r="M602" s="150"/>
    </row>
    <row r="603" spans="1:13" s="13" customFormat="1" x14ac:dyDescent="0.2">
      <c r="A603" s="36" t="str">
        <f>IF(F603&lt;&gt;"",1+MAX($A$1:A602),"")</f>
        <v/>
      </c>
      <c r="B603" s="44"/>
      <c r="C603" s="38"/>
      <c r="D603" s="85"/>
      <c r="E603" s="88" t="s">
        <v>108</v>
      </c>
      <c r="F603" s="47"/>
      <c r="G603" s="87"/>
      <c r="H603" s="49"/>
      <c r="I603" s="38"/>
      <c r="J603" s="53"/>
      <c r="K603" s="51"/>
      <c r="L603" s="43"/>
      <c r="M603" s="150"/>
    </row>
    <row r="604" spans="1:13" s="13" customFormat="1" x14ac:dyDescent="0.2">
      <c r="A604" s="36">
        <f>IF(F604&lt;&gt;"",1+MAX($A$1:A603),"")</f>
        <v>340</v>
      </c>
      <c r="B604" s="44" t="s">
        <v>82</v>
      </c>
      <c r="C604" s="38" t="s">
        <v>89</v>
      </c>
      <c r="D604" s="89"/>
      <c r="E604" s="24" t="s">
        <v>109</v>
      </c>
      <c r="F604" s="47">
        <f>7.9*12*2</f>
        <v>189.60000000000002</v>
      </c>
      <c r="G604" s="48">
        <v>0.1</v>
      </c>
      <c r="H604" s="49">
        <f>F604*(1+G604)</f>
        <v>208.56000000000003</v>
      </c>
      <c r="I604" s="38" t="s">
        <v>16</v>
      </c>
      <c r="J604" s="53">
        <f>J$512</f>
        <v>0</v>
      </c>
      <c r="K604" s="51">
        <f>J604*H604</f>
        <v>0</v>
      </c>
      <c r="L604" s="43"/>
      <c r="M604" s="150"/>
    </row>
    <row r="605" spans="1:13" s="13" customFormat="1" x14ac:dyDescent="0.2">
      <c r="A605" s="36" t="str">
        <f>IF(F605&lt;&gt;"",1+MAX($A$1:A604),"")</f>
        <v/>
      </c>
      <c r="B605" s="44"/>
      <c r="C605" s="38"/>
      <c r="D605" s="85"/>
      <c r="E605" s="90" t="s">
        <v>21</v>
      </c>
      <c r="F605" s="91"/>
      <c r="G605" s="92"/>
      <c r="H605" s="49">
        <f>ROUNDUP((H604)/32,0)</f>
        <v>7</v>
      </c>
      <c r="I605" s="38" t="s">
        <v>22</v>
      </c>
      <c r="J605" s="53"/>
      <c r="K605" s="51"/>
      <c r="L605" s="43"/>
      <c r="M605" s="150"/>
    </row>
    <row r="606" spans="1:13" s="13" customFormat="1" x14ac:dyDescent="0.2">
      <c r="A606" s="36" t="str">
        <f>IF(F606&lt;&gt;"",1+MAX($A$1:A605),"")</f>
        <v/>
      </c>
      <c r="B606" s="44"/>
      <c r="C606" s="38"/>
      <c r="D606" s="85"/>
      <c r="E606" s="90" t="s">
        <v>23</v>
      </c>
      <c r="F606" s="91"/>
      <c r="G606" s="92"/>
      <c r="H606" s="49">
        <f>ROUNDUP(H605*24/500,0)</f>
        <v>1</v>
      </c>
      <c r="I606" s="38" t="s">
        <v>24</v>
      </c>
      <c r="J606" s="53"/>
      <c r="K606" s="51"/>
      <c r="L606" s="43"/>
      <c r="M606" s="150"/>
    </row>
    <row r="607" spans="1:13" s="13" customFormat="1" x14ac:dyDescent="0.2">
      <c r="A607" s="36" t="str">
        <f>IF(F607&lt;&gt;"",1+MAX($A$1:A606),"")</f>
        <v/>
      </c>
      <c r="B607" s="44"/>
      <c r="C607" s="38"/>
      <c r="D607" s="85"/>
      <c r="E607" s="90" t="s">
        <v>25</v>
      </c>
      <c r="F607" s="91"/>
      <c r="G607" s="92"/>
      <c r="H607" s="101">
        <f>ROUNDUP((H604)/200,0)</f>
        <v>2</v>
      </c>
      <c r="I607" s="38" t="s">
        <v>26</v>
      </c>
      <c r="J607" s="53"/>
      <c r="K607" s="51"/>
      <c r="L607" s="43"/>
      <c r="M607" s="150"/>
    </row>
    <row r="608" spans="1:13" s="13" customFormat="1" x14ac:dyDescent="0.2">
      <c r="A608" s="36" t="str">
        <f>IF(F608&lt;&gt;"",1+MAX($A$1:A607),"")</f>
        <v/>
      </c>
      <c r="B608" s="44"/>
      <c r="C608" s="38"/>
      <c r="D608" s="85"/>
      <c r="E608" s="90" t="s">
        <v>27</v>
      </c>
      <c r="F608" s="91"/>
      <c r="G608" s="92"/>
      <c r="H608" s="101">
        <f>ROUNDUP((H604)*5.25/1000,0)</f>
        <v>2</v>
      </c>
      <c r="I608" s="38" t="s">
        <v>28</v>
      </c>
      <c r="J608" s="53"/>
      <c r="K608" s="51"/>
      <c r="L608" s="43"/>
      <c r="M608" s="150"/>
    </row>
    <row r="609" spans="1:13" s="13" customFormat="1" x14ac:dyDescent="0.2">
      <c r="A609" s="36">
        <f>IF(F609&lt;&gt;"",1+MAX($A$1:A608),"")</f>
        <v>341</v>
      </c>
      <c r="B609" s="44" t="s">
        <v>82</v>
      </c>
      <c r="C609" s="38" t="s">
        <v>89</v>
      </c>
      <c r="D609" s="85"/>
      <c r="E609" s="24" t="s">
        <v>88</v>
      </c>
      <c r="F609" s="47">
        <f>7.9*2</f>
        <v>15.8</v>
      </c>
      <c r="G609" s="48">
        <v>0.1</v>
      </c>
      <c r="H609" s="49">
        <f t="shared" ref="H609:H613" si="167">F609*(1+G609)</f>
        <v>17.380000000000003</v>
      </c>
      <c r="I609" s="38" t="s">
        <v>13</v>
      </c>
      <c r="J609" s="53">
        <f>J$490</f>
        <v>0</v>
      </c>
      <c r="K609" s="51">
        <f t="shared" ref="K609:K613" si="168">J609*H609</f>
        <v>0</v>
      </c>
      <c r="L609" s="43"/>
      <c r="M609" s="150"/>
    </row>
    <row r="610" spans="1:13" s="13" customFormat="1" x14ac:dyDescent="0.2">
      <c r="A610" s="36">
        <f>IF(F610&lt;&gt;"",1+MAX($A$1:A609),"")</f>
        <v>342</v>
      </c>
      <c r="B610" s="44" t="s">
        <v>82</v>
      </c>
      <c r="C610" s="38" t="s">
        <v>89</v>
      </c>
      <c r="D610" s="85"/>
      <c r="E610" s="24" t="s">
        <v>104</v>
      </c>
      <c r="F610" s="47">
        <f>7.9*12</f>
        <v>94.800000000000011</v>
      </c>
      <c r="G610" s="48">
        <v>0.1</v>
      </c>
      <c r="H610" s="49">
        <f t="shared" si="167"/>
        <v>104.28000000000002</v>
      </c>
      <c r="I610" s="38" t="s">
        <v>16</v>
      </c>
      <c r="J610" s="53">
        <f>J$598</f>
        <v>0</v>
      </c>
      <c r="K610" s="51">
        <f t="shared" si="168"/>
        <v>0</v>
      </c>
      <c r="L610" s="43"/>
      <c r="M610" s="150"/>
    </row>
    <row r="611" spans="1:13" s="13" customFormat="1" x14ac:dyDescent="0.2">
      <c r="A611" s="36">
        <f>IF(F611&lt;&gt;"",1+MAX($A$1:A610),"")</f>
        <v>343</v>
      </c>
      <c r="B611" s="44" t="s">
        <v>82</v>
      </c>
      <c r="C611" s="38" t="s">
        <v>89</v>
      </c>
      <c r="D611" s="85"/>
      <c r="E611" s="24" t="s">
        <v>96</v>
      </c>
      <c r="F611" s="47">
        <f t="shared" ref="F611:F612" si="169">7.9*12</f>
        <v>94.800000000000011</v>
      </c>
      <c r="G611" s="48">
        <v>0.1</v>
      </c>
      <c r="H611" s="49">
        <f t="shared" si="167"/>
        <v>104.28000000000002</v>
      </c>
      <c r="I611" s="38" t="s">
        <v>16</v>
      </c>
      <c r="J611" s="53">
        <f>J$558</f>
        <v>0</v>
      </c>
      <c r="K611" s="51">
        <f t="shared" si="168"/>
        <v>0</v>
      </c>
      <c r="L611" s="43"/>
      <c r="M611" s="150"/>
    </row>
    <row r="612" spans="1:13" s="13" customFormat="1" x14ac:dyDescent="0.2">
      <c r="A612" s="36">
        <f>IF(F612&lt;&gt;"",1+MAX($A$1:A611),"")</f>
        <v>344</v>
      </c>
      <c r="B612" s="44" t="s">
        <v>82</v>
      </c>
      <c r="C612" s="38" t="s">
        <v>89</v>
      </c>
      <c r="D612" s="85"/>
      <c r="E612" s="24" t="s">
        <v>106</v>
      </c>
      <c r="F612" s="47">
        <f t="shared" si="169"/>
        <v>94.800000000000011</v>
      </c>
      <c r="G612" s="48">
        <v>0.1</v>
      </c>
      <c r="H612" s="49">
        <f t="shared" si="167"/>
        <v>104.28000000000002</v>
      </c>
      <c r="I612" s="38" t="s">
        <v>16</v>
      </c>
      <c r="J612" s="53">
        <f>J$600</f>
        <v>0</v>
      </c>
      <c r="K612" s="51">
        <f t="shared" si="168"/>
        <v>0</v>
      </c>
      <c r="L612" s="43"/>
      <c r="M612" s="150"/>
    </row>
    <row r="613" spans="1:13" s="13" customFormat="1" x14ac:dyDescent="0.2">
      <c r="A613" s="36">
        <f>IF(F613&lt;&gt;"",1+MAX($A$1:A612),"")</f>
        <v>345</v>
      </c>
      <c r="B613" s="44" t="s">
        <v>82</v>
      </c>
      <c r="C613" s="38" t="s">
        <v>89</v>
      </c>
      <c r="D613" s="85"/>
      <c r="E613" s="24" t="s">
        <v>107</v>
      </c>
      <c r="F613" s="47">
        <f>7.9*2</f>
        <v>15.8</v>
      </c>
      <c r="G613" s="48">
        <v>0.1</v>
      </c>
      <c r="H613" s="49">
        <f t="shared" si="167"/>
        <v>17.380000000000003</v>
      </c>
      <c r="I613" s="38" t="s">
        <v>16</v>
      </c>
      <c r="J613" s="53">
        <f>J$601</f>
        <v>0</v>
      </c>
      <c r="K613" s="51">
        <f t="shared" si="168"/>
        <v>0</v>
      </c>
      <c r="L613" s="43"/>
      <c r="M613" s="150"/>
    </row>
    <row r="614" spans="1:13" s="13" customFormat="1" x14ac:dyDescent="0.2">
      <c r="A614" s="36" t="str">
        <f>IF(F614&lt;&gt;"",1+MAX($A$1:A613),"")</f>
        <v/>
      </c>
      <c r="B614" s="44"/>
      <c r="C614" s="38"/>
      <c r="D614" s="85"/>
      <c r="E614" s="90"/>
      <c r="F614" s="91"/>
      <c r="G614" s="92"/>
      <c r="H614" s="49"/>
      <c r="I614" s="38"/>
      <c r="J614" s="53"/>
      <c r="K614" s="51"/>
      <c r="L614" s="43"/>
      <c r="M614" s="150"/>
    </row>
    <row r="615" spans="1:13" s="13" customFormat="1" x14ac:dyDescent="0.2">
      <c r="A615" s="36" t="str">
        <f>IF(F615&lt;&gt;"",1+MAX($A$1:A614),"")</f>
        <v/>
      </c>
      <c r="B615" s="44"/>
      <c r="C615" s="38"/>
      <c r="D615" s="85"/>
      <c r="E615" s="88" t="s">
        <v>110</v>
      </c>
      <c r="F615" s="47"/>
      <c r="G615" s="87"/>
      <c r="H615" s="49"/>
      <c r="I615" s="38"/>
      <c r="J615" s="53"/>
      <c r="K615" s="51"/>
      <c r="L615" s="43"/>
      <c r="M615" s="150"/>
    </row>
    <row r="616" spans="1:13" s="13" customFormat="1" x14ac:dyDescent="0.2">
      <c r="A616" s="36">
        <f>IF(F616&lt;&gt;"",1+MAX($A$1:A615),"")</f>
        <v>346</v>
      </c>
      <c r="B616" s="44" t="s">
        <v>82</v>
      </c>
      <c r="C616" s="38" t="s">
        <v>89</v>
      </c>
      <c r="D616" s="89"/>
      <c r="E616" s="24" t="s">
        <v>98</v>
      </c>
      <c r="F616" s="47">
        <f>2.1*12</f>
        <v>25.200000000000003</v>
      </c>
      <c r="G616" s="48">
        <v>0.1</v>
      </c>
      <c r="H616" s="49">
        <f>F616*(1+G616)</f>
        <v>27.720000000000006</v>
      </c>
      <c r="I616" s="38" t="s">
        <v>16</v>
      </c>
      <c r="J616" s="53">
        <f>J$512</f>
        <v>0</v>
      </c>
      <c r="K616" s="51">
        <f>J616*H616</f>
        <v>0</v>
      </c>
      <c r="L616" s="43"/>
      <c r="M616" s="150"/>
    </row>
    <row r="617" spans="1:13" s="13" customFormat="1" x14ac:dyDescent="0.2">
      <c r="A617" s="36" t="str">
        <f>IF(F617&lt;&gt;"",1+MAX($A$1:A616),"")</f>
        <v/>
      </c>
      <c r="B617" s="44"/>
      <c r="C617" s="38"/>
      <c r="D617" s="85"/>
      <c r="E617" s="90" t="s">
        <v>21</v>
      </c>
      <c r="F617" s="91"/>
      <c r="G617" s="92"/>
      <c r="H617" s="49">
        <f>ROUNDUP((H616)/32,0)</f>
        <v>1</v>
      </c>
      <c r="I617" s="38" t="s">
        <v>22</v>
      </c>
      <c r="J617" s="53"/>
      <c r="K617" s="51"/>
      <c r="L617" s="43"/>
      <c r="M617" s="150"/>
    </row>
    <row r="618" spans="1:13" s="13" customFormat="1" x14ac:dyDescent="0.2">
      <c r="A618" s="36" t="str">
        <f>IF(F618&lt;&gt;"",1+MAX($A$1:A617),"")</f>
        <v/>
      </c>
      <c r="B618" s="44"/>
      <c r="C618" s="38"/>
      <c r="D618" s="85"/>
      <c r="E618" s="90" t="s">
        <v>23</v>
      </c>
      <c r="F618" s="91"/>
      <c r="G618" s="92"/>
      <c r="H618" s="49">
        <f>ROUNDUP(H617*24/500,0)</f>
        <v>1</v>
      </c>
      <c r="I618" s="38" t="s">
        <v>24</v>
      </c>
      <c r="J618" s="53"/>
      <c r="K618" s="51"/>
      <c r="L618" s="43"/>
      <c r="M618" s="150"/>
    </row>
    <row r="619" spans="1:13" s="13" customFormat="1" x14ac:dyDescent="0.2">
      <c r="A619" s="36" t="str">
        <f>IF(F619&lt;&gt;"",1+MAX($A$1:A618),"")</f>
        <v/>
      </c>
      <c r="B619" s="44"/>
      <c r="C619" s="38"/>
      <c r="D619" s="85"/>
      <c r="E619" s="90" t="s">
        <v>25</v>
      </c>
      <c r="F619" s="91"/>
      <c r="G619" s="92"/>
      <c r="H619" s="101">
        <f>ROUNDUP((H616)/200,0)</f>
        <v>1</v>
      </c>
      <c r="I619" s="38" t="s">
        <v>26</v>
      </c>
      <c r="J619" s="53"/>
      <c r="K619" s="51"/>
      <c r="L619" s="43"/>
      <c r="M619" s="150"/>
    </row>
    <row r="620" spans="1:13" s="13" customFormat="1" x14ac:dyDescent="0.2">
      <c r="A620" s="36" t="str">
        <f>IF(F620&lt;&gt;"",1+MAX($A$1:A619),"")</f>
        <v/>
      </c>
      <c r="B620" s="44"/>
      <c r="C620" s="38"/>
      <c r="D620" s="85"/>
      <c r="E620" s="90" t="s">
        <v>27</v>
      </c>
      <c r="F620" s="91"/>
      <c r="G620" s="92"/>
      <c r="H620" s="101">
        <f>ROUNDUP((H616)*5.25/1000,0)</f>
        <v>1</v>
      </c>
      <c r="I620" s="38" t="s">
        <v>28</v>
      </c>
      <c r="J620" s="53"/>
      <c r="K620" s="51"/>
      <c r="L620" s="43"/>
      <c r="M620" s="150"/>
    </row>
    <row r="621" spans="1:13" s="13" customFormat="1" x14ac:dyDescent="0.2">
      <c r="A621" s="36">
        <f>IF(F621&lt;&gt;"",1+MAX($A$1:A620),"")</f>
        <v>347</v>
      </c>
      <c r="B621" s="44" t="s">
        <v>82</v>
      </c>
      <c r="C621" s="38" t="s">
        <v>89</v>
      </c>
      <c r="D621" s="85"/>
      <c r="E621" s="24" t="s">
        <v>88</v>
      </c>
      <c r="F621" s="47">
        <f>2.1*2</f>
        <v>4.2</v>
      </c>
      <c r="G621" s="48">
        <v>0.1</v>
      </c>
      <c r="H621" s="49">
        <f t="shared" ref="H621:H625" si="170">F621*(1+G621)</f>
        <v>4.620000000000001</v>
      </c>
      <c r="I621" s="38" t="s">
        <v>13</v>
      </c>
      <c r="J621" s="53">
        <f>J$490</f>
        <v>0</v>
      </c>
      <c r="K621" s="51">
        <f t="shared" ref="K621:K625" si="171">J621*H621</f>
        <v>0</v>
      </c>
      <c r="L621" s="43"/>
      <c r="M621" s="150"/>
    </row>
    <row r="622" spans="1:13" s="13" customFormat="1" x14ac:dyDescent="0.2">
      <c r="A622" s="36">
        <f>IF(F622&lt;&gt;"",1+MAX($A$1:A621),"")</f>
        <v>348</v>
      </c>
      <c r="B622" s="44" t="s">
        <v>82</v>
      </c>
      <c r="C622" s="38" t="s">
        <v>89</v>
      </c>
      <c r="D622" s="85"/>
      <c r="E622" s="24" t="s">
        <v>104</v>
      </c>
      <c r="F622" s="47">
        <f t="shared" ref="F622:F624" si="172">2.1*12</f>
        <v>25.200000000000003</v>
      </c>
      <c r="G622" s="48">
        <v>0.1</v>
      </c>
      <c r="H622" s="49">
        <f t="shared" si="170"/>
        <v>27.720000000000006</v>
      </c>
      <c r="I622" s="38" t="s">
        <v>16</v>
      </c>
      <c r="J622" s="53">
        <f>J$598</f>
        <v>0</v>
      </c>
      <c r="K622" s="51">
        <f t="shared" si="171"/>
        <v>0</v>
      </c>
      <c r="L622" s="43"/>
      <c r="M622" s="150"/>
    </row>
    <row r="623" spans="1:13" s="13" customFormat="1" x14ac:dyDescent="0.2">
      <c r="A623" s="36">
        <f>IF(F623&lt;&gt;"",1+MAX($A$1:A622),"")</f>
        <v>349</v>
      </c>
      <c r="B623" s="44" t="s">
        <v>82</v>
      </c>
      <c r="C623" s="38" t="s">
        <v>89</v>
      </c>
      <c r="D623" s="85"/>
      <c r="E623" s="24" t="s">
        <v>96</v>
      </c>
      <c r="F623" s="47">
        <f t="shared" si="172"/>
        <v>25.200000000000003</v>
      </c>
      <c r="G623" s="48">
        <v>0.1</v>
      </c>
      <c r="H623" s="49">
        <f t="shared" si="170"/>
        <v>27.720000000000006</v>
      </c>
      <c r="I623" s="38" t="s">
        <v>16</v>
      </c>
      <c r="J623" s="53">
        <f>J$558</f>
        <v>0</v>
      </c>
      <c r="K623" s="51">
        <f t="shared" si="171"/>
        <v>0</v>
      </c>
      <c r="L623" s="43"/>
      <c r="M623" s="150"/>
    </row>
    <row r="624" spans="1:13" s="13" customFormat="1" x14ac:dyDescent="0.2">
      <c r="A624" s="36">
        <f>IF(F624&lt;&gt;"",1+MAX($A$1:A623),"")</f>
        <v>350</v>
      </c>
      <c r="B624" s="44" t="s">
        <v>82</v>
      </c>
      <c r="C624" s="38" t="s">
        <v>89</v>
      </c>
      <c r="D624" s="85"/>
      <c r="E624" s="24" t="s">
        <v>106</v>
      </c>
      <c r="F624" s="47">
        <f t="shared" si="172"/>
        <v>25.200000000000003</v>
      </c>
      <c r="G624" s="48">
        <v>0.1</v>
      </c>
      <c r="H624" s="49">
        <f t="shared" si="170"/>
        <v>27.720000000000006</v>
      </c>
      <c r="I624" s="38" t="s">
        <v>16</v>
      </c>
      <c r="J624" s="53">
        <f>J$600</f>
        <v>0</v>
      </c>
      <c r="K624" s="51">
        <f t="shared" si="171"/>
        <v>0</v>
      </c>
      <c r="L624" s="43"/>
      <c r="M624" s="150"/>
    </row>
    <row r="625" spans="1:13" s="13" customFormat="1" x14ac:dyDescent="0.2">
      <c r="A625" s="36">
        <f>IF(F625&lt;&gt;"",1+MAX($A$1:A624),"")</f>
        <v>351</v>
      </c>
      <c r="B625" s="44" t="s">
        <v>82</v>
      </c>
      <c r="C625" s="38" t="s">
        <v>89</v>
      </c>
      <c r="D625" s="85"/>
      <c r="E625" s="24" t="s">
        <v>107</v>
      </c>
      <c r="F625" s="47">
        <f>2.1*2</f>
        <v>4.2</v>
      </c>
      <c r="G625" s="48">
        <v>0.1</v>
      </c>
      <c r="H625" s="49">
        <f t="shared" si="170"/>
        <v>4.620000000000001</v>
      </c>
      <c r="I625" s="38" t="s">
        <v>16</v>
      </c>
      <c r="J625" s="53">
        <f>J$601</f>
        <v>0</v>
      </c>
      <c r="K625" s="51">
        <f t="shared" si="171"/>
        <v>0</v>
      </c>
      <c r="L625" s="43"/>
      <c r="M625" s="150"/>
    </row>
    <row r="626" spans="1:13" s="13" customFormat="1" x14ac:dyDescent="0.2">
      <c r="A626" s="36" t="str">
        <f>IF(F626&lt;&gt;"",1+MAX($A$1:A625),"")</f>
        <v/>
      </c>
      <c r="B626" s="44"/>
      <c r="C626" s="38"/>
      <c r="D626" s="85"/>
      <c r="E626" s="90"/>
      <c r="F626" s="91"/>
      <c r="G626" s="92"/>
      <c r="H626" s="49"/>
      <c r="I626" s="38"/>
      <c r="J626" s="53"/>
      <c r="K626" s="51"/>
      <c r="L626" s="43"/>
      <c r="M626" s="150"/>
    </row>
    <row r="627" spans="1:13" s="13" customFormat="1" x14ac:dyDescent="0.2">
      <c r="A627" s="36" t="str">
        <f>IF(F627&lt;&gt;"",1+MAX($A$1:A626),"")</f>
        <v/>
      </c>
      <c r="B627" s="44"/>
      <c r="C627" s="38"/>
      <c r="D627" s="85"/>
      <c r="E627" s="88" t="s">
        <v>111</v>
      </c>
      <c r="F627" s="47"/>
      <c r="G627" s="87"/>
      <c r="H627" s="49"/>
      <c r="I627" s="38"/>
      <c r="J627" s="53"/>
      <c r="K627" s="51"/>
      <c r="L627" s="43"/>
      <c r="M627" s="150"/>
    </row>
    <row r="628" spans="1:13" s="13" customFormat="1" x14ac:dyDescent="0.2">
      <c r="A628" s="36">
        <f>IF(F628&lt;&gt;"",1+MAX($A$1:A627),"")</f>
        <v>352</v>
      </c>
      <c r="B628" s="44" t="s">
        <v>82</v>
      </c>
      <c r="C628" s="38" t="s">
        <v>89</v>
      </c>
      <c r="D628" s="89"/>
      <c r="E628" s="24" t="s">
        <v>98</v>
      </c>
      <c r="F628" s="47">
        <f>19.6*12</f>
        <v>235.20000000000002</v>
      </c>
      <c r="G628" s="48">
        <v>0.1</v>
      </c>
      <c r="H628" s="49">
        <f>F628*(1+G628)</f>
        <v>258.72000000000003</v>
      </c>
      <c r="I628" s="38" t="s">
        <v>16</v>
      </c>
      <c r="J628" s="53">
        <f>J$512</f>
        <v>0</v>
      </c>
      <c r="K628" s="51">
        <f>J628*H628</f>
        <v>0</v>
      </c>
      <c r="L628" s="43"/>
      <c r="M628" s="150"/>
    </row>
    <row r="629" spans="1:13" s="13" customFormat="1" x14ac:dyDescent="0.2">
      <c r="A629" s="36" t="str">
        <f>IF(F629&lt;&gt;"",1+MAX($A$1:A628),"")</f>
        <v/>
      </c>
      <c r="B629" s="44"/>
      <c r="C629" s="38"/>
      <c r="D629" s="85"/>
      <c r="E629" s="90" t="s">
        <v>21</v>
      </c>
      <c r="F629" s="91"/>
      <c r="G629" s="92"/>
      <c r="H629" s="49">
        <f>ROUNDUP((H628)/32,0)</f>
        <v>9</v>
      </c>
      <c r="I629" s="38" t="s">
        <v>22</v>
      </c>
      <c r="J629" s="53"/>
      <c r="K629" s="51"/>
      <c r="L629" s="43"/>
      <c r="M629" s="150"/>
    </row>
    <row r="630" spans="1:13" s="13" customFormat="1" x14ac:dyDescent="0.2">
      <c r="A630" s="36" t="str">
        <f>IF(F630&lt;&gt;"",1+MAX($A$1:A629),"")</f>
        <v/>
      </c>
      <c r="B630" s="44"/>
      <c r="C630" s="38"/>
      <c r="D630" s="85"/>
      <c r="E630" s="90" t="s">
        <v>23</v>
      </c>
      <c r="F630" s="91"/>
      <c r="G630" s="92"/>
      <c r="H630" s="49">
        <f>ROUNDUP(H629*24/500,0)</f>
        <v>1</v>
      </c>
      <c r="I630" s="38" t="s">
        <v>24</v>
      </c>
      <c r="J630" s="53"/>
      <c r="K630" s="51"/>
      <c r="L630" s="43"/>
      <c r="M630" s="150"/>
    </row>
    <row r="631" spans="1:13" s="13" customFormat="1" x14ac:dyDescent="0.2">
      <c r="A631" s="36" t="str">
        <f>IF(F631&lt;&gt;"",1+MAX($A$1:A630),"")</f>
        <v/>
      </c>
      <c r="B631" s="44"/>
      <c r="C631" s="38"/>
      <c r="D631" s="85"/>
      <c r="E631" s="90" t="s">
        <v>25</v>
      </c>
      <c r="F631" s="91"/>
      <c r="G631" s="92"/>
      <c r="H631" s="101">
        <f>ROUNDUP((H628)/200,0)</f>
        <v>2</v>
      </c>
      <c r="I631" s="38" t="s">
        <v>26</v>
      </c>
      <c r="J631" s="53"/>
      <c r="K631" s="51"/>
      <c r="L631" s="43"/>
      <c r="M631" s="150"/>
    </row>
    <row r="632" spans="1:13" s="13" customFormat="1" x14ac:dyDescent="0.2">
      <c r="A632" s="36" t="str">
        <f>IF(F632&lt;&gt;"",1+MAX($A$1:A631),"")</f>
        <v/>
      </c>
      <c r="B632" s="44"/>
      <c r="C632" s="38"/>
      <c r="D632" s="85"/>
      <c r="E632" s="90" t="s">
        <v>27</v>
      </c>
      <c r="F632" s="91"/>
      <c r="G632" s="92"/>
      <c r="H632" s="101">
        <f>ROUNDUP((H628)*5.25/1000,0)</f>
        <v>2</v>
      </c>
      <c r="I632" s="38" t="s">
        <v>28</v>
      </c>
      <c r="J632" s="53"/>
      <c r="K632" s="51"/>
      <c r="L632" s="43"/>
      <c r="M632" s="150"/>
    </row>
    <row r="633" spans="1:13" s="13" customFormat="1" x14ac:dyDescent="0.2">
      <c r="A633" s="36">
        <f>IF(F633&lt;&gt;"",1+MAX($A$1:A632),"")</f>
        <v>353</v>
      </c>
      <c r="B633" s="44" t="s">
        <v>82</v>
      </c>
      <c r="C633" s="38" t="s">
        <v>89</v>
      </c>
      <c r="D633" s="85"/>
      <c r="E633" s="24" t="s">
        <v>88</v>
      </c>
      <c r="F633" s="47">
        <f>19.6*2</f>
        <v>39.200000000000003</v>
      </c>
      <c r="G633" s="48">
        <v>0.1</v>
      </c>
      <c r="H633" s="49">
        <f t="shared" ref="H633:H634" si="173">F633*(1+G633)</f>
        <v>43.120000000000005</v>
      </c>
      <c r="I633" s="38" t="s">
        <v>13</v>
      </c>
      <c r="J633" s="53">
        <f>J$490</f>
        <v>0</v>
      </c>
      <c r="K633" s="51">
        <f t="shared" ref="K633:K634" si="174">J633*H633</f>
        <v>0</v>
      </c>
      <c r="L633" s="43"/>
      <c r="M633" s="150"/>
    </row>
    <row r="634" spans="1:13" s="13" customFormat="1" x14ac:dyDescent="0.2">
      <c r="A634" s="36">
        <f>IF(F634&lt;&gt;"",1+MAX($A$1:A633),"")</f>
        <v>354</v>
      </c>
      <c r="B634" s="44" t="s">
        <v>82</v>
      </c>
      <c r="C634" s="38" t="s">
        <v>89</v>
      </c>
      <c r="D634" s="85"/>
      <c r="E634" s="24" t="s">
        <v>96</v>
      </c>
      <c r="F634" s="47">
        <f t="shared" ref="F634" si="175">19.6*12</f>
        <v>235.20000000000002</v>
      </c>
      <c r="G634" s="48">
        <v>0.1</v>
      </c>
      <c r="H634" s="49">
        <f t="shared" si="173"/>
        <v>258.72000000000003</v>
      </c>
      <c r="I634" s="38" t="s">
        <v>16</v>
      </c>
      <c r="J634" s="53">
        <f>J$558</f>
        <v>0</v>
      </c>
      <c r="K634" s="51">
        <f t="shared" si="174"/>
        <v>0</v>
      </c>
      <c r="L634" s="43"/>
      <c r="M634" s="150"/>
    </row>
    <row r="635" spans="1:13" s="13" customFormat="1" x14ac:dyDescent="0.2">
      <c r="A635" s="36" t="str">
        <f>IF(F635&lt;&gt;"",1+MAX($A$1:A634),"")</f>
        <v/>
      </c>
      <c r="B635" s="44"/>
      <c r="C635" s="38"/>
      <c r="D635" s="85"/>
      <c r="E635" s="90"/>
      <c r="F635" s="91"/>
      <c r="G635" s="92"/>
      <c r="H635" s="49"/>
      <c r="I635" s="38"/>
      <c r="J635" s="53"/>
      <c r="K635" s="51"/>
      <c r="L635" s="43"/>
      <c r="M635" s="150"/>
    </row>
    <row r="636" spans="1:13" s="13" customFormat="1" x14ac:dyDescent="0.2">
      <c r="A636" s="36" t="str">
        <f>IF(F636&lt;&gt;"",1+MAX($A$1:A635),"")</f>
        <v/>
      </c>
      <c r="B636" s="44"/>
      <c r="C636" s="38"/>
      <c r="D636" s="85"/>
      <c r="E636" s="88" t="s">
        <v>116</v>
      </c>
      <c r="F636" s="47"/>
      <c r="G636" s="87"/>
      <c r="H636" s="49"/>
      <c r="I636" s="38"/>
      <c r="J636" s="53"/>
      <c r="K636" s="51"/>
      <c r="L636" s="43"/>
      <c r="M636" s="150"/>
    </row>
    <row r="637" spans="1:13" s="13" customFormat="1" x14ac:dyDescent="0.2">
      <c r="A637" s="36">
        <f>IF(F637&lt;&gt;"",1+MAX($A$1:A636),"")</f>
        <v>355</v>
      </c>
      <c r="B637" s="44" t="s">
        <v>82</v>
      </c>
      <c r="C637" s="38" t="s">
        <v>89</v>
      </c>
      <c r="D637" s="89"/>
      <c r="E637" s="24" t="s">
        <v>91</v>
      </c>
      <c r="F637" s="47">
        <f>12.3*12</f>
        <v>147.60000000000002</v>
      </c>
      <c r="G637" s="48">
        <v>0.1</v>
      </c>
      <c r="H637" s="49">
        <f>F637*(1+G637)</f>
        <v>162.36000000000004</v>
      </c>
      <c r="I637" s="38" t="s">
        <v>16</v>
      </c>
      <c r="J637" s="53">
        <f>J$485</f>
        <v>0</v>
      </c>
      <c r="K637" s="51">
        <f>J637*H637</f>
        <v>0</v>
      </c>
      <c r="L637" s="43"/>
      <c r="M637" s="150"/>
    </row>
    <row r="638" spans="1:13" s="13" customFormat="1" x14ac:dyDescent="0.2">
      <c r="A638" s="36" t="str">
        <f>IF(F638&lt;&gt;"",1+MAX($A$1:A637),"")</f>
        <v/>
      </c>
      <c r="B638" s="44"/>
      <c r="C638" s="38"/>
      <c r="D638" s="85"/>
      <c r="E638" s="90" t="s">
        <v>21</v>
      </c>
      <c r="F638" s="91"/>
      <c r="G638" s="92"/>
      <c r="H638" s="49">
        <f>ROUNDUP((H637)/32,0)</f>
        <v>6</v>
      </c>
      <c r="I638" s="38" t="s">
        <v>22</v>
      </c>
      <c r="J638" s="53"/>
      <c r="K638" s="51"/>
      <c r="L638" s="43"/>
      <c r="M638" s="150"/>
    </row>
    <row r="639" spans="1:13" s="13" customFormat="1" x14ac:dyDescent="0.2">
      <c r="A639" s="36" t="str">
        <f>IF(F639&lt;&gt;"",1+MAX($A$1:A638),"")</f>
        <v/>
      </c>
      <c r="B639" s="44"/>
      <c r="C639" s="38"/>
      <c r="D639" s="85"/>
      <c r="E639" s="90" t="s">
        <v>23</v>
      </c>
      <c r="F639" s="91"/>
      <c r="G639" s="92"/>
      <c r="H639" s="49">
        <f>ROUNDUP(H638*24/500,0)</f>
        <v>1</v>
      </c>
      <c r="I639" s="38" t="s">
        <v>24</v>
      </c>
      <c r="J639" s="53"/>
      <c r="K639" s="51"/>
      <c r="L639" s="43"/>
      <c r="M639" s="150"/>
    </row>
    <row r="640" spans="1:13" s="13" customFormat="1" x14ac:dyDescent="0.2">
      <c r="A640" s="36" t="str">
        <f>IF(F640&lt;&gt;"",1+MAX($A$1:A639),"")</f>
        <v/>
      </c>
      <c r="B640" s="44"/>
      <c r="C640" s="38"/>
      <c r="D640" s="85"/>
      <c r="E640" s="90" t="s">
        <v>25</v>
      </c>
      <c r="F640" s="91"/>
      <c r="G640" s="92"/>
      <c r="H640" s="101">
        <f>ROUNDUP((H637)/200,0)</f>
        <v>1</v>
      </c>
      <c r="I640" s="38" t="s">
        <v>26</v>
      </c>
      <c r="J640" s="53"/>
      <c r="K640" s="51"/>
      <c r="L640" s="43"/>
      <c r="M640" s="150"/>
    </row>
    <row r="641" spans="1:13" s="13" customFormat="1" x14ac:dyDescent="0.2">
      <c r="A641" s="36" t="str">
        <f>IF(F641&lt;&gt;"",1+MAX($A$1:A640),"")</f>
        <v/>
      </c>
      <c r="B641" s="44"/>
      <c r="C641" s="38"/>
      <c r="D641" s="85"/>
      <c r="E641" s="90" t="s">
        <v>27</v>
      </c>
      <c r="F641" s="91"/>
      <c r="G641" s="92"/>
      <c r="H641" s="101">
        <f>ROUNDUP((H637)*5.25/1000,0)</f>
        <v>1</v>
      </c>
      <c r="I641" s="38" t="s">
        <v>28</v>
      </c>
      <c r="J641" s="53"/>
      <c r="K641" s="51"/>
      <c r="L641" s="43"/>
      <c r="M641" s="150"/>
    </row>
    <row r="642" spans="1:13" s="13" customFormat="1" x14ac:dyDescent="0.2">
      <c r="A642" s="36">
        <f>IF(F642&lt;&gt;"",1+MAX($A$1:A641),"")</f>
        <v>356</v>
      </c>
      <c r="B642" s="44" t="s">
        <v>82</v>
      </c>
      <c r="C642" s="38" t="s">
        <v>89</v>
      </c>
      <c r="D642" s="85"/>
      <c r="E642" s="24" t="s">
        <v>88</v>
      </c>
      <c r="F642" s="47">
        <f>12.3*2</f>
        <v>24.6</v>
      </c>
      <c r="G642" s="48">
        <v>0.1</v>
      </c>
      <c r="H642" s="49">
        <f t="shared" ref="H642:H643" si="176">F642*(1+G642)</f>
        <v>27.060000000000002</v>
      </c>
      <c r="I642" s="38" t="s">
        <v>13</v>
      </c>
      <c r="J642" s="53">
        <f>J$490</f>
        <v>0</v>
      </c>
      <c r="K642" s="51">
        <f t="shared" ref="K642:K643" si="177">J642*H642</f>
        <v>0</v>
      </c>
      <c r="L642" s="43"/>
      <c r="M642" s="150"/>
    </row>
    <row r="643" spans="1:13" s="13" customFormat="1" x14ac:dyDescent="0.2">
      <c r="A643" s="36">
        <f>IF(F643&lt;&gt;"",1+MAX($A$1:A642),"")</f>
        <v>357</v>
      </c>
      <c r="B643" s="44" t="s">
        <v>82</v>
      </c>
      <c r="C643" s="38" t="s">
        <v>89</v>
      </c>
      <c r="D643" s="85"/>
      <c r="E643" s="24" t="s">
        <v>117</v>
      </c>
      <c r="F643" s="47">
        <f t="shared" ref="F643" si="178">12.3*12</f>
        <v>147.60000000000002</v>
      </c>
      <c r="G643" s="48">
        <v>0.1</v>
      </c>
      <c r="H643" s="49">
        <f t="shared" si="176"/>
        <v>162.36000000000004</v>
      </c>
      <c r="I643" s="38" t="s">
        <v>16</v>
      </c>
      <c r="J643" s="53">
        <f>J$500</f>
        <v>0</v>
      </c>
      <c r="K643" s="51">
        <f t="shared" si="177"/>
        <v>0</v>
      </c>
      <c r="L643" s="43"/>
      <c r="M643" s="150"/>
    </row>
    <row r="644" spans="1:13" s="13" customFormat="1" x14ac:dyDescent="0.2">
      <c r="A644" s="36" t="str">
        <f>IF(F644&lt;&gt;"",1+MAX($A$1:A643),"")</f>
        <v/>
      </c>
      <c r="B644" s="44"/>
      <c r="C644" s="38"/>
      <c r="D644" s="85"/>
      <c r="E644" s="90"/>
      <c r="F644" s="91"/>
      <c r="G644" s="92"/>
      <c r="H644" s="49"/>
      <c r="I644" s="38"/>
      <c r="J644" s="53"/>
      <c r="K644" s="51"/>
      <c r="L644" s="43"/>
      <c r="M644" s="150"/>
    </row>
    <row r="645" spans="1:13" s="13" customFormat="1" x14ac:dyDescent="0.2">
      <c r="A645" s="36" t="str">
        <f>IF(F645&lt;&gt;"",1+MAX($A$1:A644),"")</f>
        <v/>
      </c>
      <c r="B645" s="44"/>
      <c r="C645" s="38"/>
      <c r="D645" s="85"/>
      <c r="E645" s="88" t="s">
        <v>122</v>
      </c>
      <c r="F645" s="47"/>
      <c r="G645" s="87"/>
      <c r="H645" s="49"/>
      <c r="I645" s="38"/>
      <c r="J645" s="53"/>
      <c r="K645" s="51"/>
      <c r="L645" s="43"/>
      <c r="M645" s="150"/>
    </row>
    <row r="646" spans="1:13" s="13" customFormat="1" x14ac:dyDescent="0.2">
      <c r="A646" s="36">
        <f>IF(F646&lt;&gt;"",1+MAX($A$1:A645),"")</f>
        <v>358</v>
      </c>
      <c r="B646" s="44" t="s">
        <v>82</v>
      </c>
      <c r="C646" s="38" t="s">
        <v>89</v>
      </c>
      <c r="D646" s="89"/>
      <c r="E646" s="24" t="s">
        <v>98</v>
      </c>
      <c r="F646" s="47">
        <f>277.4*10</f>
        <v>2774</v>
      </c>
      <c r="G646" s="48">
        <v>0.1</v>
      </c>
      <c r="H646" s="49">
        <f>F646*(1+G646)</f>
        <v>3051.4</v>
      </c>
      <c r="I646" s="38" t="s">
        <v>16</v>
      </c>
      <c r="J646" s="53">
        <f>J$512</f>
        <v>0</v>
      </c>
      <c r="K646" s="51">
        <f>J646*H646</f>
        <v>0</v>
      </c>
      <c r="L646" s="43"/>
      <c r="M646" s="150"/>
    </row>
    <row r="647" spans="1:13" s="13" customFormat="1" x14ac:dyDescent="0.2">
      <c r="A647" s="36" t="str">
        <f>IF(F647&lt;&gt;"",1+MAX($A$1:A646),"")</f>
        <v/>
      </c>
      <c r="B647" s="44"/>
      <c r="C647" s="38"/>
      <c r="D647" s="85"/>
      <c r="E647" s="90" t="s">
        <v>21</v>
      </c>
      <c r="F647" s="91"/>
      <c r="G647" s="92"/>
      <c r="H647" s="49">
        <f>ROUNDUP((H646)/32,0)</f>
        <v>96</v>
      </c>
      <c r="I647" s="38" t="s">
        <v>22</v>
      </c>
      <c r="J647" s="53"/>
      <c r="K647" s="51"/>
      <c r="L647" s="43"/>
      <c r="M647" s="150"/>
    </row>
    <row r="648" spans="1:13" s="13" customFormat="1" x14ac:dyDescent="0.2">
      <c r="A648" s="36" t="str">
        <f>IF(F648&lt;&gt;"",1+MAX($A$1:A647),"")</f>
        <v/>
      </c>
      <c r="B648" s="44"/>
      <c r="C648" s="38"/>
      <c r="D648" s="85"/>
      <c r="E648" s="90" t="s">
        <v>23</v>
      </c>
      <c r="F648" s="91"/>
      <c r="G648" s="92"/>
      <c r="H648" s="49">
        <f>ROUNDUP(H647*24/500,0)</f>
        <v>5</v>
      </c>
      <c r="I648" s="38" t="s">
        <v>24</v>
      </c>
      <c r="J648" s="53"/>
      <c r="K648" s="51"/>
      <c r="L648" s="43"/>
      <c r="M648" s="150"/>
    </row>
    <row r="649" spans="1:13" s="13" customFormat="1" x14ac:dyDescent="0.2">
      <c r="A649" s="36" t="str">
        <f>IF(F649&lt;&gt;"",1+MAX($A$1:A648),"")</f>
        <v/>
      </c>
      <c r="B649" s="44"/>
      <c r="C649" s="38"/>
      <c r="D649" s="85"/>
      <c r="E649" s="90" t="s">
        <v>25</v>
      </c>
      <c r="F649" s="91"/>
      <c r="G649" s="92"/>
      <c r="H649" s="101">
        <f>ROUNDUP((H646)/200,0)</f>
        <v>16</v>
      </c>
      <c r="I649" s="38" t="s">
        <v>26</v>
      </c>
      <c r="J649" s="53"/>
      <c r="K649" s="51"/>
      <c r="L649" s="43"/>
      <c r="M649" s="150"/>
    </row>
    <row r="650" spans="1:13" s="13" customFormat="1" x14ac:dyDescent="0.2">
      <c r="A650" s="36" t="str">
        <f>IF(F650&lt;&gt;"",1+MAX($A$1:A649),"")</f>
        <v/>
      </c>
      <c r="B650" s="44"/>
      <c r="C650" s="38"/>
      <c r="D650" s="85"/>
      <c r="E650" s="90" t="s">
        <v>27</v>
      </c>
      <c r="F650" s="91"/>
      <c r="G650" s="92"/>
      <c r="H650" s="101">
        <f>ROUNDUP((H646)*5.25/1000,0)</f>
        <v>17</v>
      </c>
      <c r="I650" s="38" t="s">
        <v>28</v>
      </c>
      <c r="J650" s="53"/>
      <c r="K650" s="51"/>
      <c r="L650" s="43"/>
      <c r="M650" s="150"/>
    </row>
    <row r="651" spans="1:13" s="13" customFormat="1" x14ac:dyDescent="0.2">
      <c r="A651" s="36">
        <f>IF(F651&lt;&gt;"",1+MAX($A$1:A650),"")</f>
        <v>359</v>
      </c>
      <c r="B651" s="44" t="s">
        <v>82</v>
      </c>
      <c r="C651" s="38" t="s">
        <v>89</v>
      </c>
      <c r="D651" s="85"/>
      <c r="E651" s="24" t="s">
        <v>88</v>
      </c>
      <c r="F651" s="47">
        <f>277.4*2</f>
        <v>554.79999999999995</v>
      </c>
      <c r="G651" s="48">
        <v>0.1</v>
      </c>
      <c r="H651" s="49">
        <f t="shared" ref="H651:H652" si="179">F651*(1+G651)</f>
        <v>610.28</v>
      </c>
      <c r="I651" s="38" t="s">
        <v>13</v>
      </c>
      <c r="J651" s="53">
        <f>J$490</f>
        <v>0</v>
      </c>
      <c r="K651" s="51">
        <f t="shared" ref="K651:K652" si="180">J651*H651</f>
        <v>0</v>
      </c>
      <c r="L651" s="43"/>
      <c r="M651" s="150"/>
    </row>
    <row r="652" spans="1:13" s="13" customFormat="1" x14ac:dyDescent="0.2">
      <c r="A652" s="36">
        <f>IF(F652&lt;&gt;"",1+MAX($A$1:A651),"")</f>
        <v>360</v>
      </c>
      <c r="B652" s="44" t="s">
        <v>82</v>
      </c>
      <c r="C652" s="38" t="s">
        <v>89</v>
      </c>
      <c r="D652" s="85"/>
      <c r="E652" s="24" t="s">
        <v>123</v>
      </c>
      <c r="F652" s="47">
        <f>277.4*12</f>
        <v>3328.7999999999997</v>
      </c>
      <c r="G652" s="48">
        <v>0.1</v>
      </c>
      <c r="H652" s="49">
        <f t="shared" si="179"/>
        <v>3661.68</v>
      </c>
      <c r="I652" s="38" t="s">
        <v>16</v>
      </c>
      <c r="J652" s="53">
        <v>0</v>
      </c>
      <c r="K652" s="51">
        <f t="shared" si="180"/>
        <v>0</v>
      </c>
      <c r="L652" s="43"/>
      <c r="M652" s="150"/>
    </row>
    <row r="653" spans="1:13" s="13" customFormat="1" x14ac:dyDescent="0.2">
      <c r="A653" s="36" t="str">
        <f>IF(F653&lt;&gt;"",1+MAX($A$1:A652),"")</f>
        <v/>
      </c>
      <c r="B653" s="44"/>
      <c r="C653" s="38"/>
      <c r="D653" s="85"/>
      <c r="E653" s="90"/>
      <c r="F653" s="91"/>
      <c r="G653" s="92"/>
      <c r="H653" s="49"/>
      <c r="I653" s="38"/>
      <c r="J653" s="53"/>
      <c r="K653" s="51"/>
      <c r="L653" s="43"/>
      <c r="M653" s="150"/>
    </row>
    <row r="654" spans="1:13" s="13" customFormat="1" x14ac:dyDescent="0.2">
      <c r="A654" s="36" t="str">
        <f>IF(F654&lt;&gt;"",1+MAX($A$1:A653),"")</f>
        <v/>
      </c>
      <c r="B654" s="44"/>
      <c r="C654" s="38"/>
      <c r="D654" s="85"/>
      <c r="E654" s="86" t="s">
        <v>136</v>
      </c>
      <c r="F654" s="47"/>
      <c r="G654" s="87"/>
      <c r="H654" s="49"/>
      <c r="I654" s="38"/>
      <c r="J654" s="53"/>
      <c r="K654" s="51"/>
      <c r="L654" s="43"/>
      <c r="M654" s="150"/>
    </row>
    <row r="655" spans="1:13" s="13" customFormat="1" x14ac:dyDescent="0.2">
      <c r="A655" s="36" t="str">
        <f>IF(F655&lt;&gt;"",1+MAX($A$1:A654),"")</f>
        <v/>
      </c>
      <c r="B655" s="44"/>
      <c r="C655" s="38"/>
      <c r="D655" s="85"/>
      <c r="E655" s="88" t="s">
        <v>86</v>
      </c>
      <c r="F655" s="47"/>
      <c r="G655" s="87"/>
      <c r="H655" s="49"/>
      <c r="I655" s="38"/>
      <c r="J655" s="53"/>
      <c r="K655" s="51"/>
      <c r="L655" s="43"/>
      <c r="M655" s="150"/>
    </row>
    <row r="656" spans="1:13" s="13" customFormat="1" x14ac:dyDescent="0.2">
      <c r="A656" s="36">
        <f>IF(F656&lt;&gt;"",1+MAX($A$1:A655),"")</f>
        <v>361</v>
      </c>
      <c r="B656" s="44" t="s">
        <v>82</v>
      </c>
      <c r="C656" s="38" t="s">
        <v>89</v>
      </c>
      <c r="D656" s="89"/>
      <c r="E656" s="24" t="s">
        <v>85</v>
      </c>
      <c r="F656" s="47">
        <f>239*10*2+123*10</f>
        <v>6010</v>
      </c>
      <c r="G656" s="48">
        <v>0.1</v>
      </c>
      <c r="H656" s="49">
        <f>F656*(1+G656)</f>
        <v>6611.0000000000009</v>
      </c>
      <c r="I656" s="38" t="s">
        <v>16</v>
      </c>
      <c r="J656" s="53">
        <f>J$485</f>
        <v>0</v>
      </c>
      <c r="K656" s="51">
        <f>J656*H656</f>
        <v>0</v>
      </c>
      <c r="L656" s="43"/>
      <c r="M656" s="150"/>
    </row>
    <row r="657" spans="1:13" s="13" customFormat="1" x14ac:dyDescent="0.2">
      <c r="A657" s="36">
        <f>IF(F657&lt;&gt;"",1+MAX($A$1:A656),"")</f>
        <v>362</v>
      </c>
      <c r="B657" s="44" t="s">
        <v>82</v>
      </c>
      <c r="C657" s="38" t="s">
        <v>89</v>
      </c>
      <c r="D657" s="89"/>
      <c r="E657" s="24" t="s">
        <v>87</v>
      </c>
      <c r="F657" s="47">
        <f>123*10</f>
        <v>1230</v>
      </c>
      <c r="G657" s="48">
        <v>0.1</v>
      </c>
      <c r="H657" s="49">
        <f>F657*(1+G657)</f>
        <v>1353</v>
      </c>
      <c r="I657" s="38" t="s">
        <v>16</v>
      </c>
      <c r="J657" s="53">
        <f>J$523</f>
        <v>0</v>
      </c>
      <c r="K657" s="51">
        <f>J657*H657</f>
        <v>0</v>
      </c>
      <c r="L657" s="43"/>
      <c r="M657" s="150"/>
    </row>
    <row r="658" spans="1:13" s="13" customFormat="1" x14ac:dyDescent="0.2">
      <c r="A658" s="36" t="str">
        <f>IF(F658&lt;&gt;"",1+MAX($A$1:A657),"")</f>
        <v/>
      </c>
      <c r="B658" s="44"/>
      <c r="C658" s="38"/>
      <c r="D658" s="85"/>
      <c r="E658" s="90" t="s">
        <v>21</v>
      </c>
      <c r="F658" s="91"/>
      <c r="G658" s="92"/>
      <c r="H658" s="49">
        <f>ROUNDUP((H657+H656)/32,0)</f>
        <v>249</v>
      </c>
      <c r="I658" s="38" t="s">
        <v>22</v>
      </c>
      <c r="J658" s="53"/>
      <c r="K658" s="51"/>
      <c r="L658" s="43"/>
      <c r="M658" s="150"/>
    </row>
    <row r="659" spans="1:13" s="13" customFormat="1" x14ac:dyDescent="0.2">
      <c r="A659" s="36" t="str">
        <f>IF(F659&lt;&gt;"",1+MAX($A$1:A658),"")</f>
        <v/>
      </c>
      <c r="B659" s="44"/>
      <c r="C659" s="38"/>
      <c r="D659" s="85"/>
      <c r="E659" s="90" t="s">
        <v>23</v>
      </c>
      <c r="F659" s="91"/>
      <c r="G659" s="92"/>
      <c r="H659" s="49">
        <f>ROUNDUP(H658*24/500,0)</f>
        <v>12</v>
      </c>
      <c r="I659" s="38" t="s">
        <v>24</v>
      </c>
      <c r="J659" s="53"/>
      <c r="K659" s="51"/>
      <c r="L659" s="43"/>
      <c r="M659" s="150"/>
    </row>
    <row r="660" spans="1:13" s="13" customFormat="1" x14ac:dyDescent="0.2">
      <c r="A660" s="36" t="str">
        <f>IF(F660&lt;&gt;"",1+MAX($A$1:A659),"")</f>
        <v/>
      </c>
      <c r="B660" s="44"/>
      <c r="C660" s="38"/>
      <c r="D660" s="85"/>
      <c r="E660" s="90" t="s">
        <v>25</v>
      </c>
      <c r="F660" s="91"/>
      <c r="G660" s="92"/>
      <c r="H660" s="101">
        <f>ROUNDUP((H657+H656)/200,0)</f>
        <v>40</v>
      </c>
      <c r="I660" s="38" t="s">
        <v>26</v>
      </c>
      <c r="J660" s="53"/>
      <c r="K660" s="51"/>
      <c r="L660" s="43"/>
      <c r="M660" s="150"/>
    </row>
    <row r="661" spans="1:13" s="13" customFormat="1" x14ac:dyDescent="0.2">
      <c r="A661" s="36" t="str">
        <f>IF(F661&lt;&gt;"",1+MAX($A$1:A660),"")</f>
        <v/>
      </c>
      <c r="B661" s="44"/>
      <c r="C661" s="38"/>
      <c r="D661" s="85"/>
      <c r="E661" s="90" t="s">
        <v>27</v>
      </c>
      <c r="F661" s="91"/>
      <c r="G661" s="92"/>
      <c r="H661" s="101">
        <f>ROUNDUP((H657+H656)*5.25/1000,0)</f>
        <v>42</v>
      </c>
      <c r="I661" s="38" t="s">
        <v>28</v>
      </c>
      <c r="J661" s="53"/>
      <c r="K661" s="51"/>
      <c r="L661" s="43"/>
      <c r="M661" s="150"/>
    </row>
    <row r="662" spans="1:13" s="13" customFormat="1" x14ac:dyDescent="0.2">
      <c r="A662" s="36">
        <f>IF(F662&lt;&gt;"",1+MAX($A$1:A661),"")</f>
        <v>363</v>
      </c>
      <c r="B662" s="44" t="s">
        <v>82</v>
      </c>
      <c r="C662" s="38" t="s">
        <v>89</v>
      </c>
      <c r="D662" s="85"/>
      <c r="E662" s="24" t="s">
        <v>88</v>
      </c>
      <c r="F662" s="47">
        <f>362*4</f>
        <v>1448</v>
      </c>
      <c r="G662" s="48">
        <v>0.1</v>
      </c>
      <c r="H662" s="49">
        <f t="shared" ref="H662" si="181">F662*(1+G662)</f>
        <v>1592.8000000000002</v>
      </c>
      <c r="I662" s="38" t="s">
        <v>13</v>
      </c>
      <c r="J662" s="53">
        <f>J$490</f>
        <v>0</v>
      </c>
      <c r="K662" s="51">
        <f t="shared" ref="K662" si="182">J662*H662</f>
        <v>0</v>
      </c>
      <c r="L662" s="43"/>
      <c r="M662" s="150"/>
    </row>
    <row r="663" spans="1:13" s="13" customFormat="1" x14ac:dyDescent="0.2">
      <c r="A663" s="36">
        <f>IF(F663&lt;&gt;"",1+MAX($A$1:A662),"")</f>
        <v>364</v>
      </c>
      <c r="B663" s="44" t="s">
        <v>82</v>
      </c>
      <c r="C663" s="38" t="s">
        <v>89</v>
      </c>
      <c r="D663" s="85"/>
      <c r="E663" s="24" t="s">
        <v>93</v>
      </c>
      <c r="F663" s="47">
        <f>362*10</f>
        <v>3620</v>
      </c>
      <c r="G663" s="48">
        <v>0.1</v>
      </c>
      <c r="H663" s="49">
        <f t="shared" ref="H663" si="183">F663*(1+G663)</f>
        <v>3982.0000000000005</v>
      </c>
      <c r="I663" s="38" t="s">
        <v>16</v>
      </c>
      <c r="J663" s="53">
        <f>J$491</f>
        <v>0</v>
      </c>
      <c r="K663" s="51">
        <f t="shared" ref="K663" si="184">J663*H663</f>
        <v>0</v>
      </c>
      <c r="L663" s="43"/>
      <c r="M663" s="150"/>
    </row>
    <row r="664" spans="1:13" s="13" customFormat="1" x14ac:dyDescent="0.2">
      <c r="A664" s="36" t="str">
        <f>IF(F664&lt;&gt;"",1+MAX($A$1:A663),"")</f>
        <v/>
      </c>
      <c r="B664" s="44"/>
      <c r="C664" s="38"/>
      <c r="D664" s="85"/>
      <c r="E664" s="90"/>
      <c r="F664" s="91"/>
      <c r="G664" s="92"/>
      <c r="H664" s="49"/>
      <c r="I664" s="38"/>
      <c r="J664" s="53"/>
      <c r="K664" s="51"/>
      <c r="L664" s="43"/>
      <c r="M664" s="150"/>
    </row>
    <row r="665" spans="1:13" s="13" customFormat="1" x14ac:dyDescent="0.2">
      <c r="A665" s="36" t="str">
        <f>IF(F665&lt;&gt;"",1+MAX($A$1:A664),"")</f>
        <v/>
      </c>
      <c r="B665" s="44"/>
      <c r="C665" s="38"/>
      <c r="D665" s="85"/>
      <c r="E665" s="88" t="s">
        <v>90</v>
      </c>
      <c r="F665" s="47"/>
      <c r="G665" s="87"/>
      <c r="H665" s="49"/>
      <c r="I665" s="38"/>
      <c r="J665" s="53"/>
      <c r="K665" s="51"/>
      <c r="L665" s="43"/>
      <c r="M665" s="150"/>
    </row>
    <row r="666" spans="1:13" s="13" customFormat="1" x14ac:dyDescent="0.2">
      <c r="A666" s="36">
        <f>IF(F666&lt;&gt;"",1+MAX($A$1:A665),"")</f>
        <v>365</v>
      </c>
      <c r="B666" s="44" t="s">
        <v>82</v>
      </c>
      <c r="C666" s="38" t="s">
        <v>89</v>
      </c>
      <c r="D666" s="89"/>
      <c r="E666" s="24" t="s">
        <v>87</v>
      </c>
      <c r="F666" s="47">
        <f>23.4*10</f>
        <v>234</v>
      </c>
      <c r="G666" s="48">
        <v>0.1</v>
      </c>
      <c r="H666" s="49">
        <f>F666*(1+G666)</f>
        <v>257.40000000000003</v>
      </c>
      <c r="I666" s="38" t="s">
        <v>16</v>
      </c>
      <c r="J666" s="53">
        <f>J$523</f>
        <v>0</v>
      </c>
      <c r="K666" s="51">
        <f>J666*H666</f>
        <v>0</v>
      </c>
      <c r="L666" s="43"/>
      <c r="M666" s="150"/>
    </row>
    <row r="667" spans="1:13" s="13" customFormat="1" x14ac:dyDescent="0.2">
      <c r="A667" s="36" t="str">
        <f>IF(F667&lt;&gt;"",1+MAX($A$1:A666),"")</f>
        <v/>
      </c>
      <c r="B667" s="44"/>
      <c r="C667" s="38"/>
      <c r="D667" s="85"/>
      <c r="E667" s="90" t="s">
        <v>21</v>
      </c>
      <c r="F667" s="91"/>
      <c r="G667" s="92"/>
      <c r="H667" s="49">
        <f>ROUNDUP((H666)/32,0)</f>
        <v>9</v>
      </c>
      <c r="I667" s="38" t="s">
        <v>22</v>
      </c>
      <c r="J667" s="53"/>
      <c r="K667" s="51"/>
      <c r="L667" s="43"/>
      <c r="M667" s="150"/>
    </row>
    <row r="668" spans="1:13" s="13" customFormat="1" x14ac:dyDescent="0.2">
      <c r="A668" s="36" t="str">
        <f>IF(F668&lt;&gt;"",1+MAX($A$1:A667),"")</f>
        <v/>
      </c>
      <c r="B668" s="44"/>
      <c r="C668" s="38"/>
      <c r="D668" s="85"/>
      <c r="E668" s="90" t="s">
        <v>23</v>
      </c>
      <c r="F668" s="91"/>
      <c r="G668" s="92"/>
      <c r="H668" s="49">
        <f>ROUNDUP(H667*24/500,0)</f>
        <v>1</v>
      </c>
      <c r="I668" s="38" t="s">
        <v>24</v>
      </c>
      <c r="J668" s="53"/>
      <c r="K668" s="51"/>
      <c r="L668" s="43"/>
      <c r="M668" s="150"/>
    </row>
    <row r="669" spans="1:13" s="13" customFormat="1" x14ac:dyDescent="0.2">
      <c r="A669" s="36" t="str">
        <f>IF(F669&lt;&gt;"",1+MAX($A$1:A668),"")</f>
        <v/>
      </c>
      <c r="B669" s="44"/>
      <c r="C669" s="38"/>
      <c r="D669" s="85"/>
      <c r="E669" s="90" t="s">
        <v>25</v>
      </c>
      <c r="F669" s="91"/>
      <c r="G669" s="92"/>
      <c r="H669" s="101">
        <f>ROUNDUP((H666)/200,0)</f>
        <v>2</v>
      </c>
      <c r="I669" s="38" t="s">
        <v>26</v>
      </c>
      <c r="J669" s="53"/>
      <c r="K669" s="51"/>
      <c r="L669" s="43"/>
      <c r="M669" s="150"/>
    </row>
    <row r="670" spans="1:13" s="13" customFormat="1" x14ac:dyDescent="0.2">
      <c r="A670" s="36" t="str">
        <f>IF(F670&lt;&gt;"",1+MAX($A$1:A669),"")</f>
        <v/>
      </c>
      <c r="B670" s="44"/>
      <c r="C670" s="38"/>
      <c r="D670" s="85"/>
      <c r="E670" s="90" t="s">
        <v>27</v>
      </c>
      <c r="F670" s="91"/>
      <c r="G670" s="92"/>
      <c r="H670" s="101">
        <f>ROUNDUP((H666)*5.25/1000,0)</f>
        <v>2</v>
      </c>
      <c r="I670" s="38" t="s">
        <v>28</v>
      </c>
      <c r="J670" s="53"/>
      <c r="K670" s="51"/>
      <c r="L670" s="43"/>
      <c r="M670" s="150"/>
    </row>
    <row r="671" spans="1:13" s="13" customFormat="1" x14ac:dyDescent="0.2">
      <c r="A671" s="36">
        <f>IF(F671&lt;&gt;"",1+MAX($A$1:A670),"")</f>
        <v>366</v>
      </c>
      <c r="B671" s="44" t="s">
        <v>82</v>
      </c>
      <c r="C671" s="38" t="s">
        <v>89</v>
      </c>
      <c r="D671" s="85"/>
      <c r="E671" s="24" t="s">
        <v>88</v>
      </c>
      <c r="F671" s="47">
        <f>23.4*2</f>
        <v>46.8</v>
      </c>
      <c r="G671" s="48">
        <v>0.1</v>
      </c>
      <c r="H671" s="49">
        <f t="shared" ref="H671:H672" si="185">F671*(1+G671)</f>
        <v>51.480000000000004</v>
      </c>
      <c r="I671" s="38" t="s">
        <v>13</v>
      </c>
      <c r="J671" s="53">
        <f>J$490</f>
        <v>0</v>
      </c>
      <c r="K671" s="51">
        <f t="shared" ref="K671:K672" si="186">J671*H671</f>
        <v>0</v>
      </c>
      <c r="L671" s="43"/>
      <c r="M671" s="150"/>
    </row>
    <row r="672" spans="1:13" s="13" customFormat="1" x14ac:dyDescent="0.2">
      <c r="A672" s="36">
        <f>IF(F672&lt;&gt;"",1+MAX($A$1:A671),"")</f>
        <v>367</v>
      </c>
      <c r="B672" s="44" t="s">
        <v>82</v>
      </c>
      <c r="C672" s="38" t="s">
        <v>89</v>
      </c>
      <c r="D672" s="85"/>
      <c r="E672" s="24" t="s">
        <v>93</v>
      </c>
      <c r="F672" s="47">
        <f>23.4*10</f>
        <v>234</v>
      </c>
      <c r="G672" s="48">
        <v>0.1</v>
      </c>
      <c r="H672" s="49">
        <f t="shared" si="185"/>
        <v>257.40000000000003</v>
      </c>
      <c r="I672" s="38" t="s">
        <v>16</v>
      </c>
      <c r="J672" s="53">
        <f>J$491</f>
        <v>0</v>
      </c>
      <c r="K672" s="51">
        <f t="shared" si="186"/>
        <v>0</v>
      </c>
      <c r="L672" s="43"/>
      <c r="M672" s="150"/>
    </row>
    <row r="673" spans="1:13" s="13" customFormat="1" x14ac:dyDescent="0.2">
      <c r="A673" s="36" t="str">
        <f>IF(F673&lt;&gt;"",1+MAX($A$1:A672),"")</f>
        <v/>
      </c>
      <c r="B673" s="44"/>
      <c r="C673" s="38"/>
      <c r="D673" s="85"/>
      <c r="E673" s="90"/>
      <c r="F673" s="91"/>
      <c r="G673" s="92"/>
      <c r="H673" s="49"/>
      <c r="I673" s="38"/>
      <c r="J673" s="53"/>
      <c r="K673" s="51"/>
      <c r="L673" s="43"/>
      <c r="M673" s="150"/>
    </row>
    <row r="674" spans="1:13" s="13" customFormat="1" x14ac:dyDescent="0.2">
      <c r="A674" s="36" t="str">
        <f>IF(F674&lt;&gt;"",1+MAX($A$1:A673),"")</f>
        <v/>
      </c>
      <c r="B674" s="44"/>
      <c r="C674" s="38"/>
      <c r="D674" s="85"/>
      <c r="E674" s="88" t="s">
        <v>92</v>
      </c>
      <c r="F674" s="47"/>
      <c r="G674" s="87"/>
      <c r="H674" s="49"/>
      <c r="I674" s="38"/>
      <c r="J674" s="53"/>
      <c r="K674" s="51"/>
      <c r="L674" s="43"/>
      <c r="M674" s="150"/>
    </row>
    <row r="675" spans="1:13" s="13" customFormat="1" x14ac:dyDescent="0.2">
      <c r="A675" s="36">
        <f>IF(F675&lt;&gt;"",1+MAX($A$1:A674),"")</f>
        <v>368</v>
      </c>
      <c r="B675" s="44" t="s">
        <v>82</v>
      </c>
      <c r="C675" s="38" t="s">
        <v>89</v>
      </c>
      <c r="D675" s="89"/>
      <c r="E675" s="24" t="s">
        <v>85</v>
      </c>
      <c r="F675" s="47">
        <f>8.9*10*2+11.4*10</f>
        <v>292</v>
      </c>
      <c r="G675" s="48">
        <v>0.1</v>
      </c>
      <c r="H675" s="49">
        <f>F675*(1+G675)</f>
        <v>321.20000000000005</v>
      </c>
      <c r="I675" s="38" t="s">
        <v>16</v>
      </c>
      <c r="J675" s="53">
        <f>J$485</f>
        <v>0</v>
      </c>
      <c r="K675" s="51">
        <f>J675*H675</f>
        <v>0</v>
      </c>
      <c r="L675" s="43"/>
      <c r="M675" s="150"/>
    </row>
    <row r="676" spans="1:13" s="13" customFormat="1" x14ac:dyDescent="0.2">
      <c r="A676" s="36">
        <f>IF(F676&lt;&gt;"",1+MAX($A$1:A675),"")</f>
        <v>369</v>
      </c>
      <c r="B676" s="44" t="s">
        <v>82</v>
      </c>
      <c r="C676" s="38" t="s">
        <v>89</v>
      </c>
      <c r="D676" s="89"/>
      <c r="E676" s="24" t="s">
        <v>87</v>
      </c>
      <c r="F676" s="47">
        <f>7.1*10*2+11.4*10</f>
        <v>256</v>
      </c>
      <c r="G676" s="48">
        <v>0.1</v>
      </c>
      <c r="H676" s="49">
        <f>F676*(1+G676)</f>
        <v>281.60000000000002</v>
      </c>
      <c r="I676" s="38" t="s">
        <v>16</v>
      </c>
      <c r="J676" s="53">
        <f>J$523</f>
        <v>0</v>
      </c>
      <c r="K676" s="51">
        <f>J676*H676</f>
        <v>0</v>
      </c>
      <c r="L676" s="43"/>
      <c r="M676" s="150"/>
    </row>
    <row r="677" spans="1:13" s="13" customFormat="1" x14ac:dyDescent="0.2">
      <c r="A677" s="36" t="str">
        <f>IF(F677&lt;&gt;"",1+MAX($A$1:A676),"")</f>
        <v/>
      </c>
      <c r="B677" s="44"/>
      <c r="C677" s="38"/>
      <c r="D677" s="85"/>
      <c r="E677" s="90" t="s">
        <v>21</v>
      </c>
      <c r="F677" s="91"/>
      <c r="G677" s="92"/>
      <c r="H677" s="49">
        <f>ROUNDUP((H676+H675)/32,0)</f>
        <v>19</v>
      </c>
      <c r="I677" s="38" t="s">
        <v>22</v>
      </c>
      <c r="J677" s="53"/>
      <c r="K677" s="51"/>
      <c r="L677" s="43"/>
      <c r="M677" s="150"/>
    </row>
    <row r="678" spans="1:13" s="13" customFormat="1" x14ac:dyDescent="0.2">
      <c r="A678" s="36" t="str">
        <f>IF(F678&lt;&gt;"",1+MAX($A$1:A677),"")</f>
        <v/>
      </c>
      <c r="B678" s="44"/>
      <c r="C678" s="38"/>
      <c r="D678" s="85"/>
      <c r="E678" s="90" t="s">
        <v>23</v>
      </c>
      <c r="F678" s="91"/>
      <c r="G678" s="92"/>
      <c r="H678" s="49">
        <f>ROUNDUP(H677*24/500,0)</f>
        <v>1</v>
      </c>
      <c r="I678" s="38" t="s">
        <v>24</v>
      </c>
      <c r="J678" s="53"/>
      <c r="K678" s="51"/>
      <c r="L678" s="43"/>
      <c r="M678" s="150"/>
    </row>
    <row r="679" spans="1:13" s="13" customFormat="1" x14ac:dyDescent="0.2">
      <c r="A679" s="36" t="str">
        <f>IF(F679&lt;&gt;"",1+MAX($A$1:A678),"")</f>
        <v/>
      </c>
      <c r="B679" s="44"/>
      <c r="C679" s="38"/>
      <c r="D679" s="85"/>
      <c r="E679" s="90" t="s">
        <v>25</v>
      </c>
      <c r="F679" s="91"/>
      <c r="G679" s="92"/>
      <c r="H679" s="101">
        <f>ROUNDUP((H676+H675)/200,0)</f>
        <v>4</v>
      </c>
      <c r="I679" s="38" t="s">
        <v>26</v>
      </c>
      <c r="J679" s="53"/>
      <c r="K679" s="51"/>
      <c r="L679" s="43"/>
      <c r="M679" s="150"/>
    </row>
    <row r="680" spans="1:13" s="13" customFormat="1" x14ac:dyDescent="0.2">
      <c r="A680" s="36" t="str">
        <f>IF(F680&lt;&gt;"",1+MAX($A$1:A679),"")</f>
        <v/>
      </c>
      <c r="B680" s="44"/>
      <c r="C680" s="38"/>
      <c r="D680" s="85"/>
      <c r="E680" s="90" t="s">
        <v>27</v>
      </c>
      <c r="F680" s="91"/>
      <c r="G680" s="92"/>
      <c r="H680" s="101">
        <f>ROUNDUP((H676+H675)*5.25/1000,0)</f>
        <v>4</v>
      </c>
      <c r="I680" s="38" t="s">
        <v>28</v>
      </c>
      <c r="J680" s="53"/>
      <c r="K680" s="51"/>
      <c r="L680" s="43"/>
      <c r="M680" s="150"/>
    </row>
    <row r="681" spans="1:13" s="13" customFormat="1" x14ac:dyDescent="0.2">
      <c r="A681" s="36">
        <f>IF(F681&lt;&gt;"",1+MAX($A$1:A680),"")</f>
        <v>370</v>
      </c>
      <c r="B681" s="44" t="s">
        <v>82</v>
      </c>
      <c r="C681" s="38" t="s">
        <v>89</v>
      </c>
      <c r="D681" s="85"/>
      <c r="E681" s="24" t="s">
        <v>88</v>
      </c>
      <c r="F681" s="47">
        <f>27.4*4</f>
        <v>109.6</v>
      </c>
      <c r="G681" s="48">
        <v>0.1</v>
      </c>
      <c r="H681" s="49">
        <f t="shared" ref="H681:H682" si="187">F681*(1+G681)</f>
        <v>120.56</v>
      </c>
      <c r="I681" s="38" t="s">
        <v>13</v>
      </c>
      <c r="J681" s="53">
        <f>J$490</f>
        <v>0</v>
      </c>
      <c r="K681" s="51">
        <f t="shared" ref="K681:K682" si="188">J681*H681</f>
        <v>0</v>
      </c>
      <c r="L681" s="43"/>
      <c r="M681" s="150"/>
    </row>
    <row r="682" spans="1:13" s="13" customFormat="1" x14ac:dyDescent="0.2">
      <c r="A682" s="36">
        <f>IF(F682&lt;&gt;"",1+MAX($A$1:A681),"")</f>
        <v>371</v>
      </c>
      <c r="B682" s="44" t="s">
        <v>82</v>
      </c>
      <c r="C682" s="38" t="s">
        <v>89</v>
      </c>
      <c r="D682" s="85"/>
      <c r="E682" s="24" t="s">
        <v>94</v>
      </c>
      <c r="F682" s="47">
        <f>27.4*10</f>
        <v>274</v>
      </c>
      <c r="G682" s="48">
        <v>0.1</v>
      </c>
      <c r="H682" s="49">
        <f t="shared" si="187"/>
        <v>301.40000000000003</v>
      </c>
      <c r="I682" s="38" t="s">
        <v>16</v>
      </c>
      <c r="J682" s="53">
        <f>J$548</f>
        <v>0</v>
      </c>
      <c r="K682" s="51">
        <f t="shared" si="188"/>
        <v>0</v>
      </c>
      <c r="L682" s="43"/>
      <c r="M682" s="150"/>
    </row>
    <row r="683" spans="1:13" s="13" customFormat="1" x14ac:dyDescent="0.2">
      <c r="A683" s="36" t="str">
        <f>IF(F683&lt;&gt;"",1+MAX($A$1:A682),"")</f>
        <v/>
      </c>
      <c r="B683" s="44"/>
      <c r="C683" s="38"/>
      <c r="D683" s="85"/>
      <c r="E683" s="90"/>
      <c r="F683" s="91"/>
      <c r="G683" s="92"/>
      <c r="H683" s="49"/>
      <c r="I683" s="38"/>
      <c r="J683" s="53"/>
      <c r="K683" s="51"/>
      <c r="L683" s="43"/>
      <c r="M683" s="150"/>
    </row>
    <row r="684" spans="1:13" s="13" customFormat="1" x14ac:dyDescent="0.2">
      <c r="A684" s="36" t="str">
        <f>IF(F684&lt;&gt;"",1+MAX($A$1:A683),"")</f>
        <v/>
      </c>
      <c r="B684" s="44"/>
      <c r="C684" s="38"/>
      <c r="D684" s="85"/>
      <c r="E684" s="88" t="s">
        <v>99</v>
      </c>
      <c r="F684" s="47"/>
      <c r="G684" s="87"/>
      <c r="H684" s="49"/>
      <c r="I684" s="38"/>
      <c r="J684" s="53"/>
      <c r="K684" s="51"/>
      <c r="L684" s="43"/>
      <c r="M684" s="150"/>
    </row>
    <row r="685" spans="1:13" s="13" customFormat="1" x14ac:dyDescent="0.2">
      <c r="A685" s="36">
        <f>IF(F685&lt;&gt;"",1+MAX($A$1:A684),"")</f>
        <v>372</v>
      </c>
      <c r="B685" s="44" t="s">
        <v>82</v>
      </c>
      <c r="C685" s="38" t="s">
        <v>89</v>
      </c>
      <c r="D685" s="89"/>
      <c r="E685" s="24" t="s">
        <v>85</v>
      </c>
      <c r="F685" s="47">
        <f>14.3*10</f>
        <v>143</v>
      </c>
      <c r="G685" s="48">
        <v>0.1</v>
      </c>
      <c r="H685" s="49">
        <f>F685*(1+G685)</f>
        <v>157.30000000000001</v>
      </c>
      <c r="I685" s="38" t="s">
        <v>16</v>
      </c>
      <c r="J685" s="53">
        <f>J$485</f>
        <v>0</v>
      </c>
      <c r="K685" s="51">
        <f>J685*H685</f>
        <v>0</v>
      </c>
      <c r="L685" s="43"/>
      <c r="M685" s="150"/>
    </row>
    <row r="686" spans="1:13" s="13" customFormat="1" x14ac:dyDescent="0.2">
      <c r="A686" s="36">
        <f>IF(F686&lt;&gt;"",1+MAX($A$1:A685),"")</f>
        <v>373</v>
      </c>
      <c r="B686" s="44" t="s">
        <v>82</v>
      </c>
      <c r="C686" s="38" t="s">
        <v>89</v>
      </c>
      <c r="D686" s="89"/>
      <c r="E686" s="24" t="s">
        <v>87</v>
      </c>
      <c r="F686" s="47">
        <f>14.3*10</f>
        <v>143</v>
      </c>
      <c r="G686" s="48">
        <v>0.1</v>
      </c>
      <c r="H686" s="49">
        <f>F686*(1+G686)</f>
        <v>157.30000000000001</v>
      </c>
      <c r="I686" s="38" t="s">
        <v>16</v>
      </c>
      <c r="J686" s="53">
        <f>J$523</f>
        <v>0</v>
      </c>
      <c r="K686" s="51">
        <f>J686*H686</f>
        <v>0</v>
      </c>
      <c r="L686" s="43"/>
      <c r="M686" s="150"/>
    </row>
    <row r="687" spans="1:13" s="13" customFormat="1" x14ac:dyDescent="0.2">
      <c r="A687" s="36" t="str">
        <f>IF(F687&lt;&gt;"",1+MAX($A$1:A686),"")</f>
        <v/>
      </c>
      <c r="B687" s="44"/>
      <c r="C687" s="38"/>
      <c r="D687" s="85"/>
      <c r="E687" s="90" t="s">
        <v>21</v>
      </c>
      <c r="F687" s="91"/>
      <c r="G687" s="92"/>
      <c r="H687" s="49">
        <f>ROUNDUP((H686+H685)/32,0)</f>
        <v>10</v>
      </c>
      <c r="I687" s="38" t="s">
        <v>22</v>
      </c>
      <c r="J687" s="53"/>
      <c r="K687" s="51"/>
      <c r="L687" s="43"/>
      <c r="M687" s="150"/>
    </row>
    <row r="688" spans="1:13" s="13" customFormat="1" x14ac:dyDescent="0.2">
      <c r="A688" s="36" t="str">
        <f>IF(F688&lt;&gt;"",1+MAX($A$1:A687),"")</f>
        <v/>
      </c>
      <c r="B688" s="44"/>
      <c r="C688" s="38"/>
      <c r="D688" s="85"/>
      <c r="E688" s="90" t="s">
        <v>23</v>
      </c>
      <c r="F688" s="91"/>
      <c r="G688" s="92"/>
      <c r="H688" s="49">
        <f>ROUNDUP(H687*24/500,0)</f>
        <v>1</v>
      </c>
      <c r="I688" s="38" t="s">
        <v>24</v>
      </c>
      <c r="J688" s="53"/>
      <c r="K688" s="51"/>
      <c r="L688" s="43"/>
      <c r="M688" s="150"/>
    </row>
    <row r="689" spans="1:13" s="13" customFormat="1" x14ac:dyDescent="0.2">
      <c r="A689" s="36" t="str">
        <f>IF(F689&lt;&gt;"",1+MAX($A$1:A688),"")</f>
        <v/>
      </c>
      <c r="B689" s="44"/>
      <c r="C689" s="38"/>
      <c r="D689" s="85"/>
      <c r="E689" s="90" t="s">
        <v>25</v>
      </c>
      <c r="F689" s="91"/>
      <c r="G689" s="92"/>
      <c r="H689" s="101">
        <f>ROUNDUP((H686+H685)/200,0)</f>
        <v>2</v>
      </c>
      <c r="I689" s="38" t="s">
        <v>26</v>
      </c>
      <c r="J689" s="53"/>
      <c r="K689" s="51"/>
      <c r="L689" s="43"/>
      <c r="M689" s="150"/>
    </row>
    <row r="690" spans="1:13" s="13" customFormat="1" x14ac:dyDescent="0.2">
      <c r="A690" s="36" t="str">
        <f>IF(F690&lt;&gt;"",1+MAX($A$1:A689),"")</f>
        <v/>
      </c>
      <c r="B690" s="44"/>
      <c r="C690" s="38"/>
      <c r="D690" s="85"/>
      <c r="E690" s="90" t="s">
        <v>27</v>
      </c>
      <c r="F690" s="91"/>
      <c r="G690" s="92"/>
      <c r="H690" s="101">
        <f>ROUNDUP((H686+H685)*5.25/1000,0)</f>
        <v>2</v>
      </c>
      <c r="I690" s="38" t="s">
        <v>28</v>
      </c>
      <c r="J690" s="53"/>
      <c r="K690" s="51"/>
      <c r="L690" s="43"/>
      <c r="M690" s="150"/>
    </row>
    <row r="691" spans="1:13" s="13" customFormat="1" x14ac:dyDescent="0.2">
      <c r="A691" s="36">
        <f>IF(F691&lt;&gt;"",1+MAX($A$1:A690),"")</f>
        <v>374</v>
      </c>
      <c r="B691" s="44" t="s">
        <v>82</v>
      </c>
      <c r="C691" s="38" t="s">
        <v>89</v>
      </c>
      <c r="D691" s="85"/>
      <c r="E691" s="24" t="s">
        <v>88</v>
      </c>
      <c r="F691" s="47">
        <f>14.3*4</f>
        <v>57.2</v>
      </c>
      <c r="G691" s="48">
        <v>0.1</v>
      </c>
      <c r="H691" s="49">
        <f t="shared" ref="H691:H692" si="189">F691*(1+G691)</f>
        <v>62.920000000000009</v>
      </c>
      <c r="I691" s="38" t="s">
        <v>13</v>
      </c>
      <c r="J691" s="53">
        <f>J$490</f>
        <v>0</v>
      </c>
      <c r="K691" s="51">
        <f t="shared" ref="K691:K692" si="190">J691*H691</f>
        <v>0</v>
      </c>
      <c r="L691" s="43"/>
      <c r="M691" s="150"/>
    </row>
    <row r="692" spans="1:13" s="13" customFormat="1" x14ac:dyDescent="0.2">
      <c r="A692" s="36">
        <f>IF(F692&lt;&gt;"",1+MAX($A$1:A691),"")</f>
        <v>375</v>
      </c>
      <c r="B692" s="44" t="s">
        <v>82</v>
      </c>
      <c r="C692" s="38" t="s">
        <v>89</v>
      </c>
      <c r="D692" s="85"/>
      <c r="E692" s="24" t="s">
        <v>96</v>
      </c>
      <c r="F692" s="47">
        <f t="shared" ref="F692" si="191">14.3*10</f>
        <v>143</v>
      </c>
      <c r="G692" s="48">
        <v>0.1</v>
      </c>
      <c r="H692" s="49">
        <f t="shared" si="189"/>
        <v>157.30000000000001</v>
      </c>
      <c r="I692" s="38" t="s">
        <v>16</v>
      </c>
      <c r="J692" s="53">
        <f>J$558</f>
        <v>0</v>
      </c>
      <c r="K692" s="51">
        <f t="shared" si="190"/>
        <v>0</v>
      </c>
      <c r="L692" s="43"/>
      <c r="M692" s="150"/>
    </row>
    <row r="693" spans="1:13" s="13" customFormat="1" x14ac:dyDescent="0.2">
      <c r="A693" s="36" t="str">
        <f>IF(F693&lt;&gt;"",1+MAX($A$1:A692),"")</f>
        <v/>
      </c>
      <c r="B693" s="44"/>
      <c r="C693" s="38"/>
      <c r="D693" s="85"/>
      <c r="E693" s="90"/>
      <c r="F693" s="91"/>
      <c r="G693" s="92"/>
      <c r="H693" s="49"/>
      <c r="I693" s="38"/>
      <c r="J693" s="53"/>
      <c r="K693" s="51"/>
      <c r="L693" s="43"/>
      <c r="M693" s="150"/>
    </row>
    <row r="694" spans="1:13" s="13" customFormat="1" x14ac:dyDescent="0.2">
      <c r="A694" s="36" t="str">
        <f>IF(F694&lt;&gt;"",1+MAX($A$1:A693),"")</f>
        <v/>
      </c>
      <c r="B694" s="44"/>
      <c r="C694" s="38"/>
      <c r="D694" s="85"/>
      <c r="E694" s="88" t="s">
        <v>100</v>
      </c>
      <c r="F694" s="47"/>
      <c r="G694" s="87"/>
      <c r="H694" s="49"/>
      <c r="I694" s="38"/>
      <c r="J694" s="53"/>
      <c r="K694" s="51"/>
      <c r="L694" s="43"/>
      <c r="M694" s="150"/>
    </row>
    <row r="695" spans="1:13" s="13" customFormat="1" x14ac:dyDescent="0.2">
      <c r="A695" s="36">
        <f>IF(F695&lt;&gt;"",1+MAX($A$1:A694),"")</f>
        <v>376</v>
      </c>
      <c r="B695" s="44" t="s">
        <v>82</v>
      </c>
      <c r="C695" s="38" t="s">
        <v>89</v>
      </c>
      <c r="D695" s="89"/>
      <c r="E695" s="24" t="s">
        <v>95</v>
      </c>
      <c r="F695" s="47">
        <f>67*10*2</f>
        <v>1340</v>
      </c>
      <c r="G695" s="48">
        <v>0.1</v>
      </c>
      <c r="H695" s="49">
        <f>F695*(1+G695)</f>
        <v>1474.0000000000002</v>
      </c>
      <c r="I695" s="38" t="s">
        <v>16</v>
      </c>
      <c r="J695" s="53">
        <f>J$512</f>
        <v>0</v>
      </c>
      <c r="K695" s="51">
        <f>J695*H695</f>
        <v>0</v>
      </c>
      <c r="L695" s="43"/>
      <c r="M695" s="150"/>
    </row>
    <row r="696" spans="1:13" s="13" customFormat="1" x14ac:dyDescent="0.2">
      <c r="A696" s="36" t="str">
        <f>IF(F696&lt;&gt;"",1+MAX($A$1:A695),"")</f>
        <v/>
      </c>
      <c r="B696" s="44"/>
      <c r="C696" s="38"/>
      <c r="D696" s="85"/>
      <c r="E696" s="90" t="s">
        <v>21</v>
      </c>
      <c r="F696" s="91"/>
      <c r="G696" s="92"/>
      <c r="H696" s="49">
        <f>ROUNDUP((H695)/32,0)</f>
        <v>47</v>
      </c>
      <c r="I696" s="38" t="s">
        <v>22</v>
      </c>
      <c r="J696" s="53"/>
      <c r="K696" s="51"/>
      <c r="L696" s="43"/>
      <c r="M696" s="150"/>
    </row>
    <row r="697" spans="1:13" s="13" customFormat="1" x14ac:dyDescent="0.2">
      <c r="A697" s="36" t="str">
        <f>IF(F697&lt;&gt;"",1+MAX($A$1:A696),"")</f>
        <v/>
      </c>
      <c r="B697" s="44"/>
      <c r="C697" s="38"/>
      <c r="D697" s="85"/>
      <c r="E697" s="90" t="s">
        <v>23</v>
      </c>
      <c r="F697" s="91"/>
      <c r="G697" s="92"/>
      <c r="H697" s="49">
        <f>ROUNDUP(H696*24/500,0)</f>
        <v>3</v>
      </c>
      <c r="I697" s="38" t="s">
        <v>24</v>
      </c>
      <c r="J697" s="53"/>
      <c r="K697" s="51"/>
      <c r="L697" s="43"/>
      <c r="M697" s="150"/>
    </row>
    <row r="698" spans="1:13" s="13" customFormat="1" x14ac:dyDescent="0.2">
      <c r="A698" s="36" t="str">
        <f>IF(F698&lt;&gt;"",1+MAX($A$1:A697),"")</f>
        <v/>
      </c>
      <c r="B698" s="44"/>
      <c r="C698" s="38"/>
      <c r="D698" s="85"/>
      <c r="E698" s="90" t="s">
        <v>25</v>
      </c>
      <c r="F698" s="91"/>
      <c r="G698" s="92"/>
      <c r="H698" s="101">
        <f>ROUNDUP((H695)/200,0)</f>
        <v>8</v>
      </c>
      <c r="I698" s="38" t="s">
        <v>26</v>
      </c>
      <c r="J698" s="53"/>
      <c r="K698" s="51"/>
      <c r="L698" s="43"/>
      <c r="M698" s="150"/>
    </row>
    <row r="699" spans="1:13" s="13" customFormat="1" x14ac:dyDescent="0.2">
      <c r="A699" s="36" t="str">
        <f>IF(F699&lt;&gt;"",1+MAX($A$1:A698),"")</f>
        <v/>
      </c>
      <c r="B699" s="44"/>
      <c r="C699" s="38"/>
      <c r="D699" s="85"/>
      <c r="E699" s="90" t="s">
        <v>27</v>
      </c>
      <c r="F699" s="91"/>
      <c r="G699" s="92"/>
      <c r="H699" s="101">
        <f>ROUNDUP((H695)*5.25/1000,0)</f>
        <v>8</v>
      </c>
      <c r="I699" s="38" t="s">
        <v>28</v>
      </c>
      <c r="J699" s="53"/>
      <c r="K699" s="51"/>
      <c r="L699" s="43"/>
      <c r="M699" s="150"/>
    </row>
    <row r="700" spans="1:13" s="13" customFormat="1" x14ac:dyDescent="0.2">
      <c r="A700" s="36">
        <f>IF(F700&lt;&gt;"",1+MAX($A$1:A699),"")</f>
        <v>377</v>
      </c>
      <c r="B700" s="44" t="s">
        <v>82</v>
      </c>
      <c r="C700" s="38" t="s">
        <v>89</v>
      </c>
      <c r="D700" s="85"/>
      <c r="E700" s="24" t="s">
        <v>88</v>
      </c>
      <c r="F700" s="47">
        <f>67*4</f>
        <v>268</v>
      </c>
      <c r="G700" s="48">
        <v>0.1</v>
      </c>
      <c r="H700" s="49">
        <f t="shared" ref="H700:H702" si="192">F700*(1+G700)</f>
        <v>294.8</v>
      </c>
      <c r="I700" s="38" t="s">
        <v>13</v>
      </c>
      <c r="J700" s="53">
        <f>J$490</f>
        <v>0</v>
      </c>
      <c r="K700" s="51">
        <f t="shared" ref="K700:K702" si="193">J700*H700</f>
        <v>0</v>
      </c>
      <c r="L700" s="43"/>
      <c r="M700" s="150"/>
    </row>
    <row r="701" spans="1:13" s="13" customFormat="1" x14ac:dyDescent="0.2">
      <c r="A701" s="36">
        <f>IF(F701&lt;&gt;"",1+MAX($A$1:A700),"")</f>
        <v>378</v>
      </c>
      <c r="B701" s="44" t="s">
        <v>82</v>
      </c>
      <c r="C701" s="38" t="s">
        <v>89</v>
      </c>
      <c r="D701" s="85"/>
      <c r="E701" s="24" t="s">
        <v>96</v>
      </c>
      <c r="F701" s="47">
        <f>67*12</f>
        <v>804</v>
      </c>
      <c r="G701" s="48">
        <v>0.1</v>
      </c>
      <c r="H701" s="49">
        <f t="shared" si="192"/>
        <v>884.40000000000009</v>
      </c>
      <c r="I701" s="38" t="s">
        <v>16</v>
      </c>
      <c r="J701" s="53">
        <f>J$558</f>
        <v>0</v>
      </c>
      <c r="K701" s="51">
        <f t="shared" si="193"/>
        <v>0</v>
      </c>
      <c r="L701" s="43"/>
      <c r="M701" s="150"/>
    </row>
    <row r="702" spans="1:13" s="13" customFormat="1" x14ac:dyDescent="0.2">
      <c r="A702" s="36">
        <f>IF(F702&lt;&gt;"",1+MAX($A$1:A701),"")</f>
        <v>379</v>
      </c>
      <c r="B702" s="44" t="s">
        <v>82</v>
      </c>
      <c r="C702" s="38" t="s">
        <v>89</v>
      </c>
      <c r="D702" s="85"/>
      <c r="E702" s="24" t="s">
        <v>97</v>
      </c>
      <c r="F702" s="47">
        <f>67*10</f>
        <v>670</v>
      </c>
      <c r="G702" s="48">
        <v>0.1</v>
      </c>
      <c r="H702" s="49">
        <f t="shared" si="192"/>
        <v>737.00000000000011</v>
      </c>
      <c r="I702" s="38" t="s">
        <v>16</v>
      </c>
      <c r="J702" s="53">
        <f>J$568</f>
        <v>0</v>
      </c>
      <c r="K702" s="51">
        <f t="shared" si="193"/>
        <v>0</v>
      </c>
      <c r="L702" s="43"/>
      <c r="M702" s="150"/>
    </row>
    <row r="703" spans="1:13" s="13" customFormat="1" x14ac:dyDescent="0.2">
      <c r="A703" s="36" t="str">
        <f>IF(F703&lt;&gt;"",1+MAX($A$1:A702),"")</f>
        <v/>
      </c>
      <c r="B703" s="44"/>
      <c r="C703" s="38"/>
      <c r="D703" s="85"/>
      <c r="E703" s="90"/>
      <c r="F703" s="91"/>
      <c r="G703" s="92"/>
      <c r="H703" s="49"/>
      <c r="I703" s="38"/>
      <c r="J703" s="53"/>
      <c r="K703" s="51"/>
      <c r="L703" s="43"/>
      <c r="M703" s="150"/>
    </row>
    <row r="704" spans="1:13" s="13" customFormat="1" x14ac:dyDescent="0.2">
      <c r="A704" s="36" t="str">
        <f>IF(F704&lt;&gt;"",1+MAX($A$1:A703),"")</f>
        <v/>
      </c>
      <c r="B704" s="44"/>
      <c r="C704" s="38"/>
      <c r="D704" s="85"/>
      <c r="E704" s="88" t="s">
        <v>101</v>
      </c>
      <c r="F704" s="47"/>
      <c r="G704" s="87"/>
      <c r="H704" s="49"/>
      <c r="I704" s="38"/>
      <c r="J704" s="53"/>
      <c r="K704" s="51"/>
      <c r="L704" s="43"/>
      <c r="M704" s="150"/>
    </row>
    <row r="705" spans="1:13" s="13" customFormat="1" x14ac:dyDescent="0.2">
      <c r="A705" s="36">
        <f>IF(F705&lt;&gt;"",1+MAX($A$1:A704),"")</f>
        <v>380</v>
      </c>
      <c r="B705" s="44" t="s">
        <v>82</v>
      </c>
      <c r="C705" s="38" t="s">
        <v>89</v>
      </c>
      <c r="D705" s="89"/>
      <c r="E705" s="24" t="s">
        <v>95</v>
      </c>
      <c r="F705" s="47">
        <f>102.6*10*2</f>
        <v>2052</v>
      </c>
      <c r="G705" s="48">
        <v>0.1</v>
      </c>
      <c r="H705" s="49">
        <f>F705*(1+G705)</f>
        <v>2257.2000000000003</v>
      </c>
      <c r="I705" s="38" t="s">
        <v>16</v>
      </c>
      <c r="J705" s="53">
        <f>J$512</f>
        <v>0</v>
      </c>
      <c r="K705" s="51">
        <f>J705*H705</f>
        <v>0</v>
      </c>
      <c r="L705" s="43"/>
      <c r="M705" s="150"/>
    </row>
    <row r="706" spans="1:13" s="13" customFormat="1" x14ac:dyDescent="0.2">
      <c r="A706" s="36" t="str">
        <f>IF(F706&lt;&gt;"",1+MAX($A$1:A705),"")</f>
        <v/>
      </c>
      <c r="B706" s="44"/>
      <c r="C706" s="38"/>
      <c r="D706" s="85"/>
      <c r="E706" s="90" t="s">
        <v>21</v>
      </c>
      <c r="F706" s="91"/>
      <c r="G706" s="92"/>
      <c r="H706" s="49">
        <f>ROUNDUP((H705)/32,0)</f>
        <v>71</v>
      </c>
      <c r="I706" s="38" t="s">
        <v>22</v>
      </c>
      <c r="J706" s="53"/>
      <c r="K706" s="51"/>
      <c r="L706" s="43"/>
      <c r="M706" s="150"/>
    </row>
    <row r="707" spans="1:13" s="13" customFormat="1" x14ac:dyDescent="0.2">
      <c r="A707" s="36" t="str">
        <f>IF(F707&lt;&gt;"",1+MAX($A$1:A706),"")</f>
        <v/>
      </c>
      <c r="B707" s="44"/>
      <c r="C707" s="38"/>
      <c r="D707" s="85"/>
      <c r="E707" s="90" t="s">
        <v>23</v>
      </c>
      <c r="F707" s="91"/>
      <c r="G707" s="92"/>
      <c r="H707" s="49">
        <f>ROUNDUP(H706*24/500,0)</f>
        <v>4</v>
      </c>
      <c r="I707" s="38" t="s">
        <v>24</v>
      </c>
      <c r="J707" s="53"/>
      <c r="K707" s="51"/>
      <c r="L707" s="43"/>
      <c r="M707" s="150"/>
    </row>
    <row r="708" spans="1:13" s="13" customFormat="1" x14ac:dyDescent="0.2">
      <c r="A708" s="36" t="str">
        <f>IF(F708&lt;&gt;"",1+MAX($A$1:A707),"")</f>
        <v/>
      </c>
      <c r="B708" s="44"/>
      <c r="C708" s="38"/>
      <c r="D708" s="85"/>
      <c r="E708" s="90" t="s">
        <v>25</v>
      </c>
      <c r="F708" s="91"/>
      <c r="G708" s="92"/>
      <c r="H708" s="101">
        <f>ROUNDUP((H705)/200,0)</f>
        <v>12</v>
      </c>
      <c r="I708" s="38" t="s">
        <v>26</v>
      </c>
      <c r="J708" s="53"/>
      <c r="K708" s="51"/>
      <c r="L708" s="43"/>
      <c r="M708" s="150"/>
    </row>
    <row r="709" spans="1:13" s="13" customFormat="1" x14ac:dyDescent="0.2">
      <c r="A709" s="36" t="str">
        <f>IF(F709&lt;&gt;"",1+MAX($A$1:A708),"")</f>
        <v/>
      </c>
      <c r="B709" s="44"/>
      <c r="C709" s="38"/>
      <c r="D709" s="85"/>
      <c r="E709" s="90" t="s">
        <v>27</v>
      </c>
      <c r="F709" s="91"/>
      <c r="G709" s="92"/>
      <c r="H709" s="101">
        <f>ROUNDUP((H705)*5.25/1000,0)</f>
        <v>12</v>
      </c>
      <c r="I709" s="38" t="s">
        <v>28</v>
      </c>
      <c r="J709" s="53"/>
      <c r="K709" s="51"/>
      <c r="L709" s="43"/>
      <c r="M709" s="150"/>
    </row>
    <row r="710" spans="1:13" s="13" customFormat="1" x14ac:dyDescent="0.2">
      <c r="A710" s="36">
        <f>IF(F710&lt;&gt;"",1+MAX($A$1:A709),"")</f>
        <v>381</v>
      </c>
      <c r="B710" s="44" t="s">
        <v>82</v>
      </c>
      <c r="C710" s="38" t="s">
        <v>89</v>
      </c>
      <c r="D710" s="85"/>
      <c r="E710" s="24" t="s">
        <v>88</v>
      </c>
      <c r="F710" s="47">
        <f>102.6*4</f>
        <v>410.4</v>
      </c>
      <c r="G710" s="48">
        <v>0.1</v>
      </c>
      <c r="H710" s="49">
        <f t="shared" ref="H710:H712" si="194">F710*(1+G710)</f>
        <v>451.44</v>
      </c>
      <c r="I710" s="38" t="s">
        <v>13</v>
      </c>
      <c r="J710" s="53">
        <f>J$490</f>
        <v>0</v>
      </c>
      <c r="K710" s="51">
        <f t="shared" ref="K710:K712" si="195">J710*H710</f>
        <v>0</v>
      </c>
      <c r="L710" s="43"/>
      <c r="M710" s="150"/>
    </row>
    <row r="711" spans="1:13" s="13" customFormat="1" x14ac:dyDescent="0.2">
      <c r="A711" s="36">
        <f>IF(F711&lt;&gt;"",1+MAX($A$1:A710),"")</f>
        <v>382</v>
      </c>
      <c r="B711" s="44" t="s">
        <v>82</v>
      </c>
      <c r="C711" s="38" t="s">
        <v>89</v>
      </c>
      <c r="D711" s="85"/>
      <c r="E711" s="24" t="s">
        <v>96</v>
      </c>
      <c r="F711" s="47">
        <f>102.6*12</f>
        <v>1231.1999999999998</v>
      </c>
      <c r="G711" s="48">
        <v>0.1</v>
      </c>
      <c r="H711" s="49">
        <f t="shared" si="194"/>
        <v>1354.32</v>
      </c>
      <c r="I711" s="38" t="s">
        <v>16</v>
      </c>
      <c r="J711" s="53">
        <f>J$558</f>
        <v>0</v>
      </c>
      <c r="K711" s="51">
        <f t="shared" si="195"/>
        <v>0</v>
      </c>
      <c r="L711" s="43"/>
      <c r="M711" s="150"/>
    </row>
    <row r="712" spans="1:13" s="13" customFormat="1" x14ac:dyDescent="0.2">
      <c r="A712" s="36">
        <f>IF(F712&lt;&gt;"",1+MAX($A$1:A711),"")</f>
        <v>383</v>
      </c>
      <c r="B712" s="44" t="s">
        <v>82</v>
      </c>
      <c r="C712" s="38" t="s">
        <v>89</v>
      </c>
      <c r="D712" s="85"/>
      <c r="E712" s="24" t="s">
        <v>97</v>
      </c>
      <c r="F712" s="47">
        <f t="shared" ref="F712" si="196">102.6*10</f>
        <v>1026</v>
      </c>
      <c r="G712" s="48">
        <v>0.1</v>
      </c>
      <c r="H712" s="49">
        <f t="shared" si="194"/>
        <v>1128.6000000000001</v>
      </c>
      <c r="I712" s="38" t="s">
        <v>16</v>
      </c>
      <c r="J712" s="53">
        <f>J$568</f>
        <v>0</v>
      </c>
      <c r="K712" s="51">
        <f t="shared" si="195"/>
        <v>0</v>
      </c>
      <c r="L712" s="43"/>
      <c r="M712" s="150"/>
    </row>
    <row r="713" spans="1:13" s="13" customFormat="1" x14ac:dyDescent="0.2">
      <c r="A713" s="36" t="str">
        <f>IF(F713&lt;&gt;"",1+MAX($A$1:A712),"")</f>
        <v/>
      </c>
      <c r="B713" s="44"/>
      <c r="C713" s="38"/>
      <c r="D713" s="85"/>
      <c r="E713" s="90"/>
      <c r="F713" s="91"/>
      <c r="G713" s="92"/>
      <c r="H713" s="49"/>
      <c r="I713" s="38"/>
      <c r="J713" s="53"/>
      <c r="K713" s="51"/>
      <c r="L713" s="43"/>
      <c r="M713" s="150"/>
    </row>
    <row r="714" spans="1:13" s="13" customFormat="1" x14ac:dyDescent="0.2">
      <c r="A714" s="36" t="str">
        <f>IF(F714&lt;&gt;"",1+MAX($A$1:A713),"")</f>
        <v/>
      </c>
      <c r="B714" s="44"/>
      <c r="C714" s="38"/>
      <c r="D714" s="85"/>
      <c r="E714" s="88" t="s">
        <v>102</v>
      </c>
      <c r="F714" s="47"/>
      <c r="G714" s="87"/>
      <c r="H714" s="49"/>
      <c r="I714" s="38"/>
      <c r="J714" s="53"/>
      <c r="K714" s="51"/>
      <c r="L714" s="43"/>
      <c r="M714" s="150"/>
    </row>
    <row r="715" spans="1:13" s="13" customFormat="1" x14ac:dyDescent="0.2">
      <c r="A715" s="36">
        <f>IF(F715&lt;&gt;"",1+MAX($A$1:A714),"")</f>
        <v>384</v>
      </c>
      <c r="B715" s="44" t="s">
        <v>82</v>
      </c>
      <c r="C715" s="38" t="s">
        <v>89</v>
      </c>
      <c r="D715" s="89"/>
      <c r="E715" s="24" t="s">
        <v>95</v>
      </c>
      <c r="F715" s="47">
        <f>21.3*10</f>
        <v>213</v>
      </c>
      <c r="G715" s="48">
        <v>0.1</v>
      </c>
      <c r="H715" s="49">
        <f>F715*(1+G715)</f>
        <v>234.3</v>
      </c>
      <c r="I715" s="38" t="s">
        <v>16</v>
      </c>
      <c r="J715" s="53">
        <f>J$512</f>
        <v>0</v>
      </c>
      <c r="K715" s="51">
        <f>J715*H715</f>
        <v>0</v>
      </c>
      <c r="L715" s="43"/>
      <c r="M715" s="150"/>
    </row>
    <row r="716" spans="1:13" s="13" customFormat="1" x14ac:dyDescent="0.2">
      <c r="A716" s="36">
        <f>IF(F716&lt;&gt;"",1+MAX($A$1:A715),"")</f>
        <v>385</v>
      </c>
      <c r="B716" s="44" t="s">
        <v>82</v>
      </c>
      <c r="C716" s="38" t="s">
        <v>89</v>
      </c>
      <c r="D716" s="89"/>
      <c r="E716" s="24" t="s">
        <v>135</v>
      </c>
      <c r="F716" s="47">
        <f>21.3*10</f>
        <v>213</v>
      </c>
      <c r="G716" s="48">
        <v>0.1</v>
      </c>
      <c r="H716" s="49">
        <f>F716*(1+G716)</f>
        <v>234.3</v>
      </c>
      <c r="I716" s="38" t="s">
        <v>16</v>
      </c>
      <c r="J716" s="53">
        <f>J$582</f>
        <v>0</v>
      </c>
      <c r="K716" s="51">
        <f>J716*H716</f>
        <v>0</v>
      </c>
      <c r="L716" s="43"/>
      <c r="M716" s="150"/>
    </row>
    <row r="717" spans="1:13" s="13" customFormat="1" x14ac:dyDescent="0.2">
      <c r="A717" s="36" t="str">
        <f>IF(F717&lt;&gt;"",1+MAX($A$1:A716),"")</f>
        <v/>
      </c>
      <c r="B717" s="44"/>
      <c r="C717" s="38"/>
      <c r="D717" s="85"/>
      <c r="E717" s="90" t="s">
        <v>21</v>
      </c>
      <c r="F717" s="91"/>
      <c r="G717" s="92"/>
      <c r="H717" s="49">
        <f>ROUNDUP((H716+H715)/32,0)</f>
        <v>15</v>
      </c>
      <c r="I717" s="38" t="s">
        <v>22</v>
      </c>
      <c r="J717" s="53"/>
      <c r="K717" s="51"/>
      <c r="L717" s="43"/>
      <c r="M717" s="150"/>
    </row>
    <row r="718" spans="1:13" s="13" customFormat="1" x14ac:dyDescent="0.2">
      <c r="A718" s="36" t="str">
        <f>IF(F718&lt;&gt;"",1+MAX($A$1:A717),"")</f>
        <v/>
      </c>
      <c r="B718" s="44"/>
      <c r="C718" s="38"/>
      <c r="D718" s="85"/>
      <c r="E718" s="90" t="s">
        <v>23</v>
      </c>
      <c r="F718" s="91"/>
      <c r="G718" s="92"/>
      <c r="H718" s="49">
        <f>ROUNDUP(H717*24/500,0)</f>
        <v>1</v>
      </c>
      <c r="I718" s="38" t="s">
        <v>24</v>
      </c>
      <c r="J718" s="53"/>
      <c r="K718" s="51"/>
      <c r="L718" s="43"/>
      <c r="M718" s="150"/>
    </row>
    <row r="719" spans="1:13" s="13" customFormat="1" x14ac:dyDescent="0.2">
      <c r="A719" s="36" t="str">
        <f>IF(F719&lt;&gt;"",1+MAX($A$1:A718),"")</f>
        <v/>
      </c>
      <c r="B719" s="44"/>
      <c r="C719" s="38"/>
      <c r="D719" s="85"/>
      <c r="E719" s="90" t="s">
        <v>25</v>
      </c>
      <c r="F719" s="91"/>
      <c r="G719" s="92"/>
      <c r="H719" s="101">
        <f>ROUNDUP((H716+H715)/200,0)</f>
        <v>3</v>
      </c>
      <c r="I719" s="38" t="s">
        <v>26</v>
      </c>
      <c r="J719" s="53"/>
      <c r="K719" s="51"/>
      <c r="L719" s="43"/>
      <c r="M719" s="150"/>
    </row>
    <row r="720" spans="1:13" s="13" customFormat="1" x14ac:dyDescent="0.2">
      <c r="A720" s="36" t="str">
        <f>IF(F720&lt;&gt;"",1+MAX($A$1:A719),"")</f>
        <v/>
      </c>
      <c r="B720" s="44"/>
      <c r="C720" s="38"/>
      <c r="D720" s="85"/>
      <c r="E720" s="90" t="s">
        <v>27</v>
      </c>
      <c r="F720" s="91"/>
      <c r="G720" s="92"/>
      <c r="H720" s="101">
        <f>ROUNDUP((H716+H715)*5.25/1000,0)</f>
        <v>3</v>
      </c>
      <c r="I720" s="38" t="s">
        <v>28</v>
      </c>
      <c r="J720" s="53"/>
      <c r="K720" s="51"/>
      <c r="L720" s="43"/>
      <c r="M720" s="150"/>
    </row>
    <row r="721" spans="1:13" s="13" customFormat="1" x14ac:dyDescent="0.2">
      <c r="A721" s="36">
        <f>IF(F721&lt;&gt;"",1+MAX($A$1:A720),"")</f>
        <v>386</v>
      </c>
      <c r="B721" s="44" t="s">
        <v>82</v>
      </c>
      <c r="C721" s="38" t="s">
        <v>89</v>
      </c>
      <c r="D721" s="85"/>
      <c r="E721" s="24" t="s">
        <v>88</v>
      </c>
      <c r="F721" s="47">
        <f>21.3*4</f>
        <v>85.2</v>
      </c>
      <c r="G721" s="48">
        <v>0.1</v>
      </c>
      <c r="H721" s="49">
        <f t="shared" ref="H721:H723" si="197">F721*(1+G721)</f>
        <v>93.720000000000013</v>
      </c>
      <c r="I721" s="38" t="s">
        <v>13</v>
      </c>
      <c r="J721" s="53">
        <f>J$490</f>
        <v>0</v>
      </c>
      <c r="K721" s="51">
        <f t="shared" ref="K721:K723" si="198">J721*H721</f>
        <v>0</v>
      </c>
      <c r="L721" s="43"/>
      <c r="M721" s="150"/>
    </row>
    <row r="722" spans="1:13" s="13" customFormat="1" x14ac:dyDescent="0.2">
      <c r="A722" s="36">
        <f>IF(F722&lt;&gt;"",1+MAX($A$1:A721),"")</f>
        <v>387</v>
      </c>
      <c r="B722" s="44" t="s">
        <v>82</v>
      </c>
      <c r="C722" s="38" t="s">
        <v>89</v>
      </c>
      <c r="D722" s="85"/>
      <c r="E722" s="24" t="s">
        <v>96</v>
      </c>
      <c r="F722" s="47">
        <f t="shared" ref="F722:F723" si="199">21.3*10</f>
        <v>213</v>
      </c>
      <c r="G722" s="48">
        <v>0.1</v>
      </c>
      <c r="H722" s="49">
        <f t="shared" si="197"/>
        <v>234.3</v>
      </c>
      <c r="I722" s="38" t="s">
        <v>16</v>
      </c>
      <c r="J722" s="53">
        <f>J$558</f>
        <v>0</v>
      </c>
      <c r="K722" s="51">
        <f t="shared" si="198"/>
        <v>0</v>
      </c>
      <c r="L722" s="43"/>
      <c r="M722" s="150"/>
    </row>
    <row r="723" spans="1:13" s="13" customFormat="1" x14ac:dyDescent="0.2">
      <c r="A723" s="36">
        <f>IF(F723&lt;&gt;"",1+MAX($A$1:A722),"")</f>
        <v>388</v>
      </c>
      <c r="B723" s="44" t="s">
        <v>82</v>
      </c>
      <c r="C723" s="38" t="s">
        <v>89</v>
      </c>
      <c r="D723" s="85"/>
      <c r="E723" s="24" t="s">
        <v>97</v>
      </c>
      <c r="F723" s="47">
        <f t="shared" si="199"/>
        <v>213</v>
      </c>
      <c r="G723" s="48">
        <v>0.1</v>
      </c>
      <c r="H723" s="49">
        <f t="shared" si="197"/>
        <v>234.3</v>
      </c>
      <c r="I723" s="38" t="s">
        <v>16</v>
      </c>
      <c r="J723" s="53">
        <f>J$568</f>
        <v>0</v>
      </c>
      <c r="K723" s="51">
        <f t="shared" si="198"/>
        <v>0</v>
      </c>
      <c r="L723" s="43"/>
      <c r="M723" s="150"/>
    </row>
    <row r="724" spans="1:13" s="13" customFormat="1" x14ac:dyDescent="0.2">
      <c r="A724" s="36" t="str">
        <f>IF(F724&lt;&gt;"",1+MAX($A$1:A723),"")</f>
        <v/>
      </c>
      <c r="B724" s="44"/>
      <c r="C724" s="38"/>
      <c r="D724" s="85"/>
      <c r="E724" s="90"/>
      <c r="F724" s="91"/>
      <c r="G724" s="92"/>
      <c r="H724" s="49"/>
      <c r="I724" s="38"/>
      <c r="J724" s="53"/>
      <c r="K724" s="51"/>
      <c r="L724" s="43"/>
      <c r="M724" s="150"/>
    </row>
    <row r="725" spans="1:13" s="13" customFormat="1" x14ac:dyDescent="0.2">
      <c r="A725" s="36" t="str">
        <f>IF(F725&lt;&gt;"",1+MAX($A$1:A724),"")</f>
        <v/>
      </c>
      <c r="B725" s="44"/>
      <c r="C725" s="38"/>
      <c r="D725" s="85"/>
      <c r="E725" s="88" t="s">
        <v>103</v>
      </c>
      <c r="F725" s="47"/>
      <c r="G725" s="87"/>
      <c r="H725" s="49"/>
      <c r="I725" s="38"/>
      <c r="J725" s="53"/>
      <c r="K725" s="51"/>
      <c r="L725" s="43"/>
      <c r="M725" s="150"/>
    </row>
    <row r="726" spans="1:13" s="13" customFormat="1" x14ac:dyDescent="0.2">
      <c r="A726" s="36">
        <f>IF(F726&lt;&gt;"",1+MAX($A$1:A725),"")</f>
        <v>389</v>
      </c>
      <c r="B726" s="44" t="s">
        <v>82</v>
      </c>
      <c r="C726" s="38" t="s">
        <v>89</v>
      </c>
      <c r="D726" s="89"/>
      <c r="E726" s="24" t="s">
        <v>105</v>
      </c>
      <c r="F726" s="47">
        <f>33.4*12*2</f>
        <v>801.59999999999991</v>
      </c>
      <c r="G726" s="48">
        <v>0.1</v>
      </c>
      <c r="H726" s="49">
        <f>F726*(1+G726)</f>
        <v>881.76</v>
      </c>
      <c r="I726" s="38" t="s">
        <v>16</v>
      </c>
      <c r="J726" s="53">
        <f>J$592</f>
        <v>0</v>
      </c>
      <c r="K726" s="51">
        <f>J726*H726</f>
        <v>0</v>
      </c>
      <c r="L726" s="43"/>
      <c r="M726" s="150"/>
    </row>
    <row r="727" spans="1:13" s="13" customFormat="1" x14ac:dyDescent="0.2">
      <c r="A727" s="36" t="str">
        <f>IF(F727&lt;&gt;"",1+MAX($A$1:A726),"")</f>
        <v/>
      </c>
      <c r="B727" s="44"/>
      <c r="C727" s="38"/>
      <c r="D727" s="85"/>
      <c r="E727" s="90" t="s">
        <v>21</v>
      </c>
      <c r="F727" s="91"/>
      <c r="G727" s="92"/>
      <c r="H727" s="49">
        <f>ROUNDUP((H726)/32,0)</f>
        <v>28</v>
      </c>
      <c r="I727" s="38" t="s">
        <v>22</v>
      </c>
      <c r="J727" s="53"/>
      <c r="K727" s="51"/>
      <c r="L727" s="43"/>
      <c r="M727" s="150"/>
    </row>
    <row r="728" spans="1:13" s="13" customFormat="1" x14ac:dyDescent="0.2">
      <c r="A728" s="36" t="str">
        <f>IF(F728&lt;&gt;"",1+MAX($A$1:A727),"")</f>
        <v/>
      </c>
      <c r="B728" s="44"/>
      <c r="C728" s="38"/>
      <c r="D728" s="85"/>
      <c r="E728" s="90" t="s">
        <v>23</v>
      </c>
      <c r="F728" s="91"/>
      <c r="G728" s="92"/>
      <c r="H728" s="49">
        <f>ROUNDUP(H727*24/500,0)</f>
        <v>2</v>
      </c>
      <c r="I728" s="38" t="s">
        <v>24</v>
      </c>
      <c r="J728" s="53"/>
      <c r="K728" s="51"/>
      <c r="L728" s="43"/>
      <c r="M728" s="150"/>
    </row>
    <row r="729" spans="1:13" s="13" customFormat="1" x14ac:dyDescent="0.2">
      <c r="A729" s="36" t="str">
        <f>IF(F729&lt;&gt;"",1+MAX($A$1:A728),"")</f>
        <v/>
      </c>
      <c r="B729" s="44"/>
      <c r="C729" s="38"/>
      <c r="D729" s="85"/>
      <c r="E729" s="90" t="s">
        <v>25</v>
      </c>
      <c r="F729" s="91"/>
      <c r="G729" s="92"/>
      <c r="H729" s="101">
        <f>ROUNDUP((H726)/200,0)</f>
        <v>5</v>
      </c>
      <c r="I729" s="38" t="s">
        <v>26</v>
      </c>
      <c r="J729" s="53"/>
      <c r="K729" s="51"/>
      <c r="L729" s="43"/>
      <c r="M729" s="150"/>
    </row>
    <row r="730" spans="1:13" s="13" customFormat="1" x14ac:dyDescent="0.2">
      <c r="A730" s="36" t="str">
        <f>IF(F730&lt;&gt;"",1+MAX($A$1:A729),"")</f>
        <v/>
      </c>
      <c r="B730" s="44"/>
      <c r="C730" s="38"/>
      <c r="D730" s="85"/>
      <c r="E730" s="90" t="s">
        <v>27</v>
      </c>
      <c r="F730" s="91"/>
      <c r="G730" s="92"/>
      <c r="H730" s="101">
        <f>ROUNDUP((H726)*5.25/1000,0)</f>
        <v>5</v>
      </c>
      <c r="I730" s="38" t="s">
        <v>28</v>
      </c>
      <c r="J730" s="53"/>
      <c r="K730" s="51"/>
      <c r="L730" s="43"/>
      <c r="M730" s="150"/>
    </row>
    <row r="731" spans="1:13" s="13" customFormat="1" x14ac:dyDescent="0.2">
      <c r="A731" s="36">
        <f>IF(F731&lt;&gt;"",1+MAX($A$1:A730),"")</f>
        <v>390</v>
      </c>
      <c r="B731" s="44" t="s">
        <v>82</v>
      </c>
      <c r="C731" s="38" t="s">
        <v>89</v>
      </c>
      <c r="D731" s="85"/>
      <c r="E731" s="24" t="s">
        <v>88</v>
      </c>
      <c r="F731" s="47">
        <f>33.4*2</f>
        <v>66.8</v>
      </c>
      <c r="G731" s="48">
        <v>0.1</v>
      </c>
      <c r="H731" s="49">
        <f t="shared" ref="H731:H735" si="200">F731*(1+G731)</f>
        <v>73.48</v>
      </c>
      <c r="I731" s="38" t="s">
        <v>13</v>
      </c>
      <c r="J731" s="53">
        <f>J$490</f>
        <v>0</v>
      </c>
      <c r="K731" s="51">
        <f t="shared" ref="K731:K735" si="201">J731*H731</f>
        <v>0</v>
      </c>
      <c r="L731" s="43"/>
      <c r="M731" s="150"/>
    </row>
    <row r="732" spans="1:13" s="13" customFormat="1" x14ac:dyDescent="0.2">
      <c r="A732" s="36">
        <f>IF(F732&lt;&gt;"",1+MAX($A$1:A731),"")</f>
        <v>391</v>
      </c>
      <c r="B732" s="44" t="s">
        <v>82</v>
      </c>
      <c r="C732" s="38" t="s">
        <v>89</v>
      </c>
      <c r="D732" s="85"/>
      <c r="E732" s="24" t="s">
        <v>104</v>
      </c>
      <c r="F732" s="47">
        <f>33.4*12</f>
        <v>400.79999999999995</v>
      </c>
      <c r="G732" s="48">
        <v>0.1</v>
      </c>
      <c r="H732" s="49">
        <f t="shared" si="200"/>
        <v>440.88</v>
      </c>
      <c r="I732" s="38" t="s">
        <v>16</v>
      </c>
      <c r="J732" s="53">
        <f>J$598</f>
        <v>0</v>
      </c>
      <c r="K732" s="51">
        <f t="shared" si="201"/>
        <v>0</v>
      </c>
      <c r="L732" s="43"/>
      <c r="M732" s="150"/>
    </row>
    <row r="733" spans="1:13" s="13" customFormat="1" x14ac:dyDescent="0.2">
      <c r="A733" s="36">
        <f>IF(F733&lt;&gt;"",1+MAX($A$1:A732),"")</f>
        <v>392</v>
      </c>
      <c r="B733" s="44" t="s">
        <v>82</v>
      </c>
      <c r="C733" s="38" t="s">
        <v>89</v>
      </c>
      <c r="D733" s="85"/>
      <c r="E733" s="24" t="s">
        <v>96</v>
      </c>
      <c r="F733" s="47">
        <f>33.4*12</f>
        <v>400.79999999999995</v>
      </c>
      <c r="G733" s="48">
        <v>0.1</v>
      </c>
      <c r="H733" s="49">
        <f t="shared" si="200"/>
        <v>440.88</v>
      </c>
      <c r="I733" s="38" t="s">
        <v>16</v>
      </c>
      <c r="J733" s="53">
        <f>J$558</f>
        <v>0</v>
      </c>
      <c r="K733" s="51">
        <f t="shared" si="201"/>
        <v>0</v>
      </c>
      <c r="L733" s="43"/>
      <c r="M733" s="150"/>
    </row>
    <row r="734" spans="1:13" s="13" customFormat="1" x14ac:dyDescent="0.2">
      <c r="A734" s="36">
        <f>IF(F734&lt;&gt;"",1+MAX($A$1:A733),"")</f>
        <v>393</v>
      </c>
      <c r="B734" s="44" t="s">
        <v>82</v>
      </c>
      <c r="C734" s="38" t="s">
        <v>89</v>
      </c>
      <c r="D734" s="85"/>
      <c r="E734" s="24" t="s">
        <v>106</v>
      </c>
      <c r="F734" s="47">
        <f>33.4*12</f>
        <v>400.79999999999995</v>
      </c>
      <c r="G734" s="48">
        <v>0.1</v>
      </c>
      <c r="H734" s="49">
        <f t="shared" si="200"/>
        <v>440.88</v>
      </c>
      <c r="I734" s="38" t="s">
        <v>16</v>
      </c>
      <c r="J734" s="53">
        <f>J$600</f>
        <v>0</v>
      </c>
      <c r="K734" s="51">
        <f t="shared" si="201"/>
        <v>0</v>
      </c>
      <c r="L734" s="43"/>
      <c r="M734" s="150"/>
    </row>
    <row r="735" spans="1:13" s="13" customFormat="1" x14ac:dyDescent="0.2">
      <c r="A735" s="36">
        <f>IF(F735&lt;&gt;"",1+MAX($A$1:A734),"")</f>
        <v>394</v>
      </c>
      <c r="B735" s="44" t="s">
        <v>82</v>
      </c>
      <c r="C735" s="38" t="s">
        <v>89</v>
      </c>
      <c r="D735" s="85"/>
      <c r="E735" s="24" t="s">
        <v>107</v>
      </c>
      <c r="F735" s="47">
        <f>33.4*2</f>
        <v>66.8</v>
      </c>
      <c r="G735" s="48">
        <v>0.1</v>
      </c>
      <c r="H735" s="49">
        <f t="shared" si="200"/>
        <v>73.48</v>
      </c>
      <c r="I735" s="38" t="s">
        <v>16</v>
      </c>
      <c r="J735" s="53">
        <f>J$601</f>
        <v>0</v>
      </c>
      <c r="K735" s="51">
        <f t="shared" si="201"/>
        <v>0</v>
      </c>
      <c r="L735" s="43"/>
      <c r="M735" s="150"/>
    </row>
    <row r="736" spans="1:13" s="13" customFormat="1" x14ac:dyDescent="0.2">
      <c r="A736" s="36" t="str">
        <f>IF(F736&lt;&gt;"",1+MAX($A$1:A735),"")</f>
        <v/>
      </c>
      <c r="B736" s="44"/>
      <c r="C736" s="38"/>
      <c r="D736" s="85"/>
      <c r="E736" s="90"/>
      <c r="F736" s="91"/>
      <c r="G736" s="92"/>
      <c r="H736" s="49"/>
      <c r="I736" s="38"/>
      <c r="J736" s="53"/>
      <c r="K736" s="51"/>
      <c r="L736" s="43"/>
      <c r="M736" s="150"/>
    </row>
    <row r="737" spans="1:13" s="13" customFormat="1" x14ac:dyDescent="0.2">
      <c r="A737" s="36" t="str">
        <f>IF(F737&lt;&gt;"",1+MAX($A$1:A736),"")</f>
        <v/>
      </c>
      <c r="B737" s="44"/>
      <c r="C737" s="38"/>
      <c r="D737" s="85"/>
      <c r="E737" s="88" t="s">
        <v>108</v>
      </c>
      <c r="F737" s="47"/>
      <c r="G737" s="87"/>
      <c r="H737" s="49"/>
      <c r="I737" s="38"/>
      <c r="J737" s="53"/>
      <c r="K737" s="51"/>
      <c r="L737" s="43"/>
      <c r="M737" s="150"/>
    </row>
    <row r="738" spans="1:13" s="13" customFormat="1" x14ac:dyDescent="0.2">
      <c r="A738" s="36">
        <f>IF(F738&lt;&gt;"",1+MAX($A$1:A737),"")</f>
        <v>395</v>
      </c>
      <c r="B738" s="44" t="s">
        <v>82</v>
      </c>
      <c r="C738" s="38" t="s">
        <v>89</v>
      </c>
      <c r="D738" s="89"/>
      <c r="E738" s="24" t="s">
        <v>109</v>
      </c>
      <c r="F738" s="47">
        <f>7.9*12*2</f>
        <v>189.60000000000002</v>
      </c>
      <c r="G738" s="48">
        <v>0.1</v>
      </c>
      <c r="H738" s="49">
        <f>F738*(1+G738)</f>
        <v>208.56000000000003</v>
      </c>
      <c r="I738" s="38" t="s">
        <v>16</v>
      </c>
      <c r="J738" s="53">
        <f>J$512</f>
        <v>0</v>
      </c>
      <c r="K738" s="51">
        <f>J738*H738</f>
        <v>0</v>
      </c>
      <c r="L738" s="43"/>
      <c r="M738" s="150"/>
    </row>
    <row r="739" spans="1:13" s="13" customFormat="1" x14ac:dyDescent="0.2">
      <c r="A739" s="36" t="str">
        <f>IF(F739&lt;&gt;"",1+MAX($A$1:A738),"")</f>
        <v/>
      </c>
      <c r="B739" s="44"/>
      <c r="C739" s="38"/>
      <c r="D739" s="85"/>
      <c r="E739" s="90" t="s">
        <v>21</v>
      </c>
      <c r="F739" s="91"/>
      <c r="G739" s="92"/>
      <c r="H739" s="49">
        <f>ROUNDUP((H738)/32,0)</f>
        <v>7</v>
      </c>
      <c r="I739" s="38" t="s">
        <v>22</v>
      </c>
      <c r="J739" s="53"/>
      <c r="K739" s="51"/>
      <c r="L739" s="43"/>
      <c r="M739" s="150"/>
    </row>
    <row r="740" spans="1:13" s="13" customFormat="1" x14ac:dyDescent="0.2">
      <c r="A740" s="36" t="str">
        <f>IF(F740&lt;&gt;"",1+MAX($A$1:A739),"")</f>
        <v/>
      </c>
      <c r="B740" s="44"/>
      <c r="C740" s="38"/>
      <c r="D740" s="85"/>
      <c r="E740" s="90" t="s">
        <v>23</v>
      </c>
      <c r="F740" s="91"/>
      <c r="G740" s="92"/>
      <c r="H740" s="49">
        <f>ROUNDUP(H739*24/500,0)</f>
        <v>1</v>
      </c>
      <c r="I740" s="38" t="s">
        <v>24</v>
      </c>
      <c r="J740" s="53"/>
      <c r="K740" s="51"/>
      <c r="L740" s="43"/>
      <c r="M740" s="150"/>
    </row>
    <row r="741" spans="1:13" s="13" customFormat="1" x14ac:dyDescent="0.2">
      <c r="A741" s="36" t="str">
        <f>IF(F741&lt;&gt;"",1+MAX($A$1:A740),"")</f>
        <v/>
      </c>
      <c r="B741" s="44"/>
      <c r="C741" s="38"/>
      <c r="D741" s="85"/>
      <c r="E741" s="90" t="s">
        <v>25</v>
      </c>
      <c r="F741" s="91"/>
      <c r="G741" s="92"/>
      <c r="H741" s="101">
        <f>ROUNDUP((H738)/200,0)</f>
        <v>2</v>
      </c>
      <c r="I741" s="38" t="s">
        <v>26</v>
      </c>
      <c r="J741" s="53"/>
      <c r="K741" s="51"/>
      <c r="L741" s="43"/>
      <c r="M741" s="150"/>
    </row>
    <row r="742" spans="1:13" s="13" customFormat="1" x14ac:dyDescent="0.2">
      <c r="A742" s="36" t="str">
        <f>IF(F742&lt;&gt;"",1+MAX($A$1:A741),"")</f>
        <v/>
      </c>
      <c r="B742" s="44"/>
      <c r="C742" s="38"/>
      <c r="D742" s="85"/>
      <c r="E742" s="90" t="s">
        <v>27</v>
      </c>
      <c r="F742" s="91"/>
      <c r="G742" s="92"/>
      <c r="H742" s="101">
        <f>ROUNDUP((H738)*5.25/1000,0)</f>
        <v>2</v>
      </c>
      <c r="I742" s="38" t="s">
        <v>28</v>
      </c>
      <c r="J742" s="53"/>
      <c r="K742" s="51"/>
      <c r="L742" s="43"/>
      <c r="M742" s="150"/>
    </row>
    <row r="743" spans="1:13" s="13" customFormat="1" x14ac:dyDescent="0.2">
      <c r="A743" s="36">
        <f>IF(F743&lt;&gt;"",1+MAX($A$1:A742),"")</f>
        <v>396</v>
      </c>
      <c r="B743" s="44" t="s">
        <v>82</v>
      </c>
      <c r="C743" s="38" t="s">
        <v>89</v>
      </c>
      <c r="D743" s="85"/>
      <c r="E743" s="24" t="s">
        <v>88</v>
      </c>
      <c r="F743" s="47">
        <f>7.9*2</f>
        <v>15.8</v>
      </c>
      <c r="G743" s="48">
        <v>0.1</v>
      </c>
      <c r="H743" s="49">
        <f t="shared" ref="H743:H747" si="202">F743*(1+G743)</f>
        <v>17.380000000000003</v>
      </c>
      <c r="I743" s="38" t="s">
        <v>13</v>
      </c>
      <c r="J743" s="53">
        <f>J$490</f>
        <v>0</v>
      </c>
      <c r="K743" s="51">
        <f t="shared" ref="K743:K747" si="203">J743*H743</f>
        <v>0</v>
      </c>
      <c r="L743" s="43"/>
      <c r="M743" s="150"/>
    </row>
    <row r="744" spans="1:13" s="13" customFormat="1" x14ac:dyDescent="0.2">
      <c r="A744" s="36">
        <f>IF(F744&lt;&gt;"",1+MAX($A$1:A743),"")</f>
        <v>397</v>
      </c>
      <c r="B744" s="44" t="s">
        <v>82</v>
      </c>
      <c r="C744" s="38" t="s">
        <v>89</v>
      </c>
      <c r="D744" s="85"/>
      <c r="E744" s="24" t="s">
        <v>104</v>
      </c>
      <c r="F744" s="47">
        <f>7.9*12</f>
        <v>94.800000000000011</v>
      </c>
      <c r="G744" s="48">
        <v>0.1</v>
      </c>
      <c r="H744" s="49">
        <f t="shared" si="202"/>
        <v>104.28000000000002</v>
      </c>
      <c r="I744" s="38" t="s">
        <v>16</v>
      </c>
      <c r="J744" s="53">
        <f>J$598</f>
        <v>0</v>
      </c>
      <c r="K744" s="51">
        <f t="shared" si="203"/>
        <v>0</v>
      </c>
      <c r="L744" s="43"/>
      <c r="M744" s="150"/>
    </row>
    <row r="745" spans="1:13" s="13" customFormat="1" x14ac:dyDescent="0.2">
      <c r="A745" s="36">
        <f>IF(F745&lt;&gt;"",1+MAX($A$1:A744),"")</f>
        <v>398</v>
      </c>
      <c r="B745" s="44" t="s">
        <v>82</v>
      </c>
      <c r="C745" s="38" t="s">
        <v>89</v>
      </c>
      <c r="D745" s="85"/>
      <c r="E745" s="24" t="s">
        <v>96</v>
      </c>
      <c r="F745" s="47">
        <f t="shared" ref="F745:F746" si="204">7.9*12</f>
        <v>94.800000000000011</v>
      </c>
      <c r="G745" s="48">
        <v>0.1</v>
      </c>
      <c r="H745" s="49">
        <f t="shared" si="202"/>
        <v>104.28000000000002</v>
      </c>
      <c r="I745" s="38" t="s">
        <v>16</v>
      </c>
      <c r="J745" s="53">
        <f>J$558</f>
        <v>0</v>
      </c>
      <c r="K745" s="51">
        <f t="shared" si="203"/>
        <v>0</v>
      </c>
      <c r="L745" s="43"/>
      <c r="M745" s="150"/>
    </row>
    <row r="746" spans="1:13" s="13" customFormat="1" x14ac:dyDescent="0.2">
      <c r="A746" s="36">
        <f>IF(F746&lt;&gt;"",1+MAX($A$1:A745),"")</f>
        <v>399</v>
      </c>
      <c r="B746" s="44" t="s">
        <v>82</v>
      </c>
      <c r="C746" s="38" t="s">
        <v>89</v>
      </c>
      <c r="D746" s="85"/>
      <c r="E746" s="24" t="s">
        <v>106</v>
      </c>
      <c r="F746" s="47">
        <f t="shared" si="204"/>
        <v>94.800000000000011</v>
      </c>
      <c r="G746" s="48">
        <v>0.1</v>
      </c>
      <c r="H746" s="49">
        <f t="shared" si="202"/>
        <v>104.28000000000002</v>
      </c>
      <c r="I746" s="38" t="s">
        <v>16</v>
      </c>
      <c r="J746" s="53">
        <f>J$600</f>
        <v>0</v>
      </c>
      <c r="K746" s="51">
        <f t="shared" si="203"/>
        <v>0</v>
      </c>
      <c r="L746" s="43"/>
      <c r="M746" s="150"/>
    </row>
    <row r="747" spans="1:13" s="13" customFormat="1" x14ac:dyDescent="0.2">
      <c r="A747" s="36">
        <f>IF(F747&lt;&gt;"",1+MAX($A$1:A746),"")</f>
        <v>400</v>
      </c>
      <c r="B747" s="44" t="s">
        <v>82</v>
      </c>
      <c r="C747" s="38" t="s">
        <v>89</v>
      </c>
      <c r="D747" s="85"/>
      <c r="E747" s="24" t="s">
        <v>107</v>
      </c>
      <c r="F747" s="47">
        <f>7.9*2</f>
        <v>15.8</v>
      </c>
      <c r="G747" s="48">
        <v>0.1</v>
      </c>
      <c r="H747" s="49">
        <f t="shared" si="202"/>
        <v>17.380000000000003</v>
      </c>
      <c r="I747" s="38" t="s">
        <v>16</v>
      </c>
      <c r="J747" s="53">
        <f>J$601</f>
        <v>0</v>
      </c>
      <c r="K747" s="51">
        <f t="shared" si="203"/>
        <v>0</v>
      </c>
      <c r="L747" s="43"/>
      <c r="M747" s="150"/>
    </row>
    <row r="748" spans="1:13" s="13" customFormat="1" x14ac:dyDescent="0.2">
      <c r="A748" s="36" t="str">
        <f>IF(F748&lt;&gt;"",1+MAX($A$1:A747),"")</f>
        <v/>
      </c>
      <c r="B748" s="44"/>
      <c r="C748" s="38"/>
      <c r="D748" s="85"/>
      <c r="E748" s="90"/>
      <c r="F748" s="91"/>
      <c r="G748" s="92"/>
      <c r="H748" s="49"/>
      <c r="I748" s="38"/>
      <c r="J748" s="53"/>
      <c r="K748" s="51"/>
      <c r="L748" s="43"/>
      <c r="M748" s="150"/>
    </row>
    <row r="749" spans="1:13" s="13" customFormat="1" x14ac:dyDescent="0.2">
      <c r="A749" s="36" t="str">
        <f>IF(F749&lt;&gt;"",1+MAX($A$1:A748),"")</f>
        <v/>
      </c>
      <c r="B749" s="44"/>
      <c r="C749" s="38"/>
      <c r="D749" s="85"/>
      <c r="E749" s="88" t="s">
        <v>110</v>
      </c>
      <c r="F749" s="47"/>
      <c r="G749" s="87"/>
      <c r="H749" s="49"/>
      <c r="I749" s="38"/>
      <c r="J749" s="53"/>
      <c r="K749" s="51"/>
      <c r="L749" s="43"/>
      <c r="M749" s="150"/>
    </row>
    <row r="750" spans="1:13" s="13" customFormat="1" x14ac:dyDescent="0.2">
      <c r="A750" s="36">
        <f>IF(F750&lt;&gt;"",1+MAX($A$1:A749),"")</f>
        <v>401</v>
      </c>
      <c r="B750" s="44" t="s">
        <v>82</v>
      </c>
      <c r="C750" s="38" t="s">
        <v>89</v>
      </c>
      <c r="D750" s="89"/>
      <c r="E750" s="24" t="s">
        <v>98</v>
      </c>
      <c r="F750" s="47">
        <f>2.1*12</f>
        <v>25.200000000000003</v>
      </c>
      <c r="G750" s="48">
        <v>0.1</v>
      </c>
      <c r="H750" s="49">
        <f>F750*(1+G750)</f>
        <v>27.720000000000006</v>
      </c>
      <c r="I750" s="38" t="s">
        <v>16</v>
      </c>
      <c r="J750" s="53">
        <f>J$512</f>
        <v>0</v>
      </c>
      <c r="K750" s="51">
        <f>J750*H750</f>
        <v>0</v>
      </c>
      <c r="L750" s="43"/>
      <c r="M750" s="150"/>
    </row>
    <row r="751" spans="1:13" s="13" customFormat="1" x14ac:dyDescent="0.2">
      <c r="A751" s="36" t="str">
        <f>IF(F751&lt;&gt;"",1+MAX($A$1:A750),"")</f>
        <v/>
      </c>
      <c r="B751" s="44"/>
      <c r="C751" s="38"/>
      <c r="D751" s="85"/>
      <c r="E751" s="90" t="s">
        <v>21</v>
      </c>
      <c r="F751" s="91"/>
      <c r="G751" s="92"/>
      <c r="H751" s="49">
        <f>ROUNDUP((H750)/32,0)</f>
        <v>1</v>
      </c>
      <c r="I751" s="38" t="s">
        <v>22</v>
      </c>
      <c r="J751" s="53"/>
      <c r="K751" s="51"/>
      <c r="L751" s="43"/>
      <c r="M751" s="150"/>
    </row>
    <row r="752" spans="1:13" s="13" customFormat="1" x14ac:dyDescent="0.2">
      <c r="A752" s="36" t="str">
        <f>IF(F752&lt;&gt;"",1+MAX($A$1:A751),"")</f>
        <v/>
      </c>
      <c r="B752" s="44"/>
      <c r="C752" s="38"/>
      <c r="D752" s="85"/>
      <c r="E752" s="90" t="s">
        <v>23</v>
      </c>
      <c r="F752" s="91"/>
      <c r="G752" s="92"/>
      <c r="H752" s="49">
        <f>ROUNDUP(H751*24/500,0)</f>
        <v>1</v>
      </c>
      <c r="I752" s="38" t="s">
        <v>24</v>
      </c>
      <c r="J752" s="53"/>
      <c r="K752" s="51"/>
      <c r="L752" s="43"/>
      <c r="M752" s="150"/>
    </row>
    <row r="753" spans="1:13" s="13" customFormat="1" x14ac:dyDescent="0.2">
      <c r="A753" s="36" t="str">
        <f>IF(F753&lt;&gt;"",1+MAX($A$1:A752),"")</f>
        <v/>
      </c>
      <c r="B753" s="44"/>
      <c r="C753" s="38"/>
      <c r="D753" s="85"/>
      <c r="E753" s="90" t="s">
        <v>25</v>
      </c>
      <c r="F753" s="91"/>
      <c r="G753" s="92"/>
      <c r="H753" s="101">
        <f>ROUNDUP((H750)/200,0)</f>
        <v>1</v>
      </c>
      <c r="I753" s="38" t="s">
        <v>26</v>
      </c>
      <c r="J753" s="53"/>
      <c r="K753" s="51"/>
      <c r="L753" s="43"/>
      <c r="M753" s="150"/>
    </row>
    <row r="754" spans="1:13" s="13" customFormat="1" x14ac:dyDescent="0.2">
      <c r="A754" s="36" t="str">
        <f>IF(F754&lt;&gt;"",1+MAX($A$1:A753),"")</f>
        <v/>
      </c>
      <c r="B754" s="44"/>
      <c r="C754" s="38"/>
      <c r="D754" s="85"/>
      <c r="E754" s="90" t="s">
        <v>27</v>
      </c>
      <c r="F754" s="91"/>
      <c r="G754" s="92"/>
      <c r="H754" s="101">
        <f>ROUNDUP((H750)*5.25/1000,0)</f>
        <v>1</v>
      </c>
      <c r="I754" s="38" t="s">
        <v>28</v>
      </c>
      <c r="J754" s="53"/>
      <c r="K754" s="51"/>
      <c r="L754" s="43"/>
      <c r="M754" s="150"/>
    </row>
    <row r="755" spans="1:13" s="13" customFormat="1" x14ac:dyDescent="0.2">
      <c r="A755" s="36">
        <f>IF(F755&lt;&gt;"",1+MAX($A$1:A754),"")</f>
        <v>402</v>
      </c>
      <c r="B755" s="44" t="s">
        <v>82</v>
      </c>
      <c r="C755" s="38" t="s">
        <v>89</v>
      </c>
      <c r="D755" s="85"/>
      <c r="E755" s="24" t="s">
        <v>88</v>
      </c>
      <c r="F755" s="47">
        <f>2.1*2</f>
        <v>4.2</v>
      </c>
      <c r="G755" s="48">
        <v>0.1</v>
      </c>
      <c r="H755" s="49">
        <f t="shared" ref="H755:H759" si="205">F755*(1+G755)</f>
        <v>4.620000000000001</v>
      </c>
      <c r="I755" s="38" t="s">
        <v>13</v>
      </c>
      <c r="J755" s="53">
        <f>J$490</f>
        <v>0</v>
      </c>
      <c r="K755" s="51">
        <f t="shared" ref="K755:K759" si="206">J755*H755</f>
        <v>0</v>
      </c>
      <c r="L755" s="43"/>
      <c r="M755" s="150"/>
    </row>
    <row r="756" spans="1:13" s="13" customFormat="1" x14ac:dyDescent="0.2">
      <c r="A756" s="36">
        <f>IF(F756&lt;&gt;"",1+MAX($A$1:A755),"")</f>
        <v>403</v>
      </c>
      <c r="B756" s="44" t="s">
        <v>82</v>
      </c>
      <c r="C756" s="38" t="s">
        <v>89</v>
      </c>
      <c r="D756" s="85"/>
      <c r="E756" s="24" t="s">
        <v>104</v>
      </c>
      <c r="F756" s="47">
        <f t="shared" ref="F756:F758" si="207">2.1*12</f>
        <v>25.200000000000003</v>
      </c>
      <c r="G756" s="48">
        <v>0.1</v>
      </c>
      <c r="H756" s="49">
        <f t="shared" si="205"/>
        <v>27.720000000000006</v>
      </c>
      <c r="I756" s="38" t="s">
        <v>16</v>
      </c>
      <c r="J756" s="53">
        <f>J$598</f>
        <v>0</v>
      </c>
      <c r="K756" s="51">
        <f t="shared" si="206"/>
        <v>0</v>
      </c>
      <c r="L756" s="43"/>
      <c r="M756" s="150"/>
    </row>
    <row r="757" spans="1:13" s="13" customFormat="1" x14ac:dyDescent="0.2">
      <c r="A757" s="36">
        <f>IF(F757&lt;&gt;"",1+MAX($A$1:A756),"")</f>
        <v>404</v>
      </c>
      <c r="B757" s="44" t="s">
        <v>82</v>
      </c>
      <c r="C757" s="38" t="s">
        <v>89</v>
      </c>
      <c r="D757" s="85"/>
      <c r="E757" s="24" t="s">
        <v>96</v>
      </c>
      <c r="F757" s="47">
        <f t="shared" si="207"/>
        <v>25.200000000000003</v>
      </c>
      <c r="G757" s="48">
        <v>0.1</v>
      </c>
      <c r="H757" s="49">
        <f t="shared" si="205"/>
        <v>27.720000000000006</v>
      </c>
      <c r="I757" s="38" t="s">
        <v>16</v>
      </c>
      <c r="J757" s="53">
        <f>J$558</f>
        <v>0</v>
      </c>
      <c r="K757" s="51">
        <f t="shared" si="206"/>
        <v>0</v>
      </c>
      <c r="L757" s="43"/>
      <c r="M757" s="150"/>
    </row>
    <row r="758" spans="1:13" s="13" customFormat="1" x14ac:dyDescent="0.2">
      <c r="A758" s="36">
        <f>IF(F758&lt;&gt;"",1+MAX($A$1:A757),"")</f>
        <v>405</v>
      </c>
      <c r="B758" s="44" t="s">
        <v>82</v>
      </c>
      <c r="C758" s="38" t="s">
        <v>89</v>
      </c>
      <c r="D758" s="85"/>
      <c r="E758" s="24" t="s">
        <v>106</v>
      </c>
      <c r="F758" s="47">
        <f t="shared" si="207"/>
        <v>25.200000000000003</v>
      </c>
      <c r="G758" s="48">
        <v>0.1</v>
      </c>
      <c r="H758" s="49">
        <f t="shared" si="205"/>
        <v>27.720000000000006</v>
      </c>
      <c r="I758" s="38" t="s">
        <v>16</v>
      </c>
      <c r="J758" s="53">
        <f>J$600</f>
        <v>0</v>
      </c>
      <c r="K758" s="51">
        <f t="shared" si="206"/>
        <v>0</v>
      </c>
      <c r="L758" s="43"/>
      <c r="M758" s="150"/>
    </row>
    <row r="759" spans="1:13" s="13" customFormat="1" x14ac:dyDescent="0.2">
      <c r="A759" s="36">
        <f>IF(F759&lt;&gt;"",1+MAX($A$1:A758),"")</f>
        <v>406</v>
      </c>
      <c r="B759" s="44" t="s">
        <v>82</v>
      </c>
      <c r="C759" s="38" t="s">
        <v>89</v>
      </c>
      <c r="D759" s="85"/>
      <c r="E759" s="24" t="s">
        <v>107</v>
      </c>
      <c r="F759" s="47">
        <f>2.1*2</f>
        <v>4.2</v>
      </c>
      <c r="G759" s="48">
        <v>0.1</v>
      </c>
      <c r="H759" s="49">
        <f t="shared" si="205"/>
        <v>4.620000000000001</v>
      </c>
      <c r="I759" s="38" t="s">
        <v>16</v>
      </c>
      <c r="J759" s="53">
        <f>J$601</f>
        <v>0</v>
      </c>
      <c r="K759" s="51">
        <f t="shared" si="206"/>
        <v>0</v>
      </c>
      <c r="L759" s="43"/>
      <c r="M759" s="150"/>
    </row>
    <row r="760" spans="1:13" s="13" customFormat="1" x14ac:dyDescent="0.2">
      <c r="A760" s="36" t="str">
        <f>IF(F760&lt;&gt;"",1+MAX($A$1:A759),"")</f>
        <v/>
      </c>
      <c r="B760" s="44"/>
      <c r="C760" s="38"/>
      <c r="D760" s="85"/>
      <c r="E760" s="90"/>
      <c r="F760" s="91"/>
      <c r="G760" s="92"/>
      <c r="H760" s="49"/>
      <c r="I760" s="38"/>
      <c r="J760" s="53"/>
      <c r="K760" s="51"/>
      <c r="L760" s="43"/>
      <c r="M760" s="150"/>
    </row>
    <row r="761" spans="1:13" s="13" customFormat="1" x14ac:dyDescent="0.2">
      <c r="A761" s="36" t="str">
        <f>IF(F761&lt;&gt;"",1+MAX($A$1:A760),"")</f>
        <v/>
      </c>
      <c r="B761" s="44"/>
      <c r="C761" s="38"/>
      <c r="D761" s="85"/>
      <c r="E761" s="88" t="s">
        <v>111</v>
      </c>
      <c r="F761" s="47"/>
      <c r="G761" s="87"/>
      <c r="H761" s="49"/>
      <c r="I761" s="38"/>
      <c r="J761" s="53"/>
      <c r="K761" s="51"/>
      <c r="L761" s="43"/>
      <c r="M761" s="150"/>
    </row>
    <row r="762" spans="1:13" s="13" customFormat="1" x14ac:dyDescent="0.2">
      <c r="A762" s="36">
        <f>IF(F762&lt;&gt;"",1+MAX($A$1:A761),"")</f>
        <v>407</v>
      </c>
      <c r="B762" s="44" t="s">
        <v>82</v>
      </c>
      <c r="C762" s="38" t="s">
        <v>89</v>
      </c>
      <c r="D762" s="89"/>
      <c r="E762" s="24" t="s">
        <v>98</v>
      </c>
      <c r="F762" s="47">
        <f>19.6*12</f>
        <v>235.20000000000002</v>
      </c>
      <c r="G762" s="48">
        <v>0.1</v>
      </c>
      <c r="H762" s="49">
        <f>F762*(1+G762)</f>
        <v>258.72000000000003</v>
      </c>
      <c r="I762" s="38" t="s">
        <v>16</v>
      </c>
      <c r="J762" s="53">
        <f>J$512</f>
        <v>0</v>
      </c>
      <c r="K762" s="51">
        <f>J762*H762</f>
        <v>0</v>
      </c>
      <c r="L762" s="43"/>
      <c r="M762" s="150"/>
    </row>
    <row r="763" spans="1:13" s="13" customFormat="1" x14ac:dyDescent="0.2">
      <c r="A763" s="36" t="str">
        <f>IF(F763&lt;&gt;"",1+MAX($A$1:A762),"")</f>
        <v/>
      </c>
      <c r="B763" s="44"/>
      <c r="C763" s="38"/>
      <c r="D763" s="85"/>
      <c r="E763" s="90" t="s">
        <v>21</v>
      </c>
      <c r="F763" s="91"/>
      <c r="G763" s="92"/>
      <c r="H763" s="49">
        <f>ROUNDUP((H762)/32,0)</f>
        <v>9</v>
      </c>
      <c r="I763" s="38" t="s">
        <v>22</v>
      </c>
      <c r="J763" s="53"/>
      <c r="K763" s="51"/>
      <c r="L763" s="43"/>
      <c r="M763" s="150"/>
    </row>
    <row r="764" spans="1:13" s="13" customFormat="1" x14ac:dyDescent="0.2">
      <c r="A764" s="36" t="str">
        <f>IF(F764&lt;&gt;"",1+MAX($A$1:A763),"")</f>
        <v/>
      </c>
      <c r="B764" s="44"/>
      <c r="C764" s="38"/>
      <c r="D764" s="85"/>
      <c r="E764" s="90" t="s">
        <v>23</v>
      </c>
      <c r="F764" s="91"/>
      <c r="G764" s="92"/>
      <c r="H764" s="49">
        <f>ROUNDUP(H763*24/500,0)</f>
        <v>1</v>
      </c>
      <c r="I764" s="38" t="s">
        <v>24</v>
      </c>
      <c r="J764" s="53"/>
      <c r="K764" s="51"/>
      <c r="L764" s="43"/>
      <c r="M764" s="150"/>
    </row>
    <row r="765" spans="1:13" s="13" customFormat="1" x14ac:dyDescent="0.2">
      <c r="A765" s="36" t="str">
        <f>IF(F765&lt;&gt;"",1+MAX($A$1:A764),"")</f>
        <v/>
      </c>
      <c r="B765" s="44"/>
      <c r="C765" s="38"/>
      <c r="D765" s="85"/>
      <c r="E765" s="90" t="s">
        <v>25</v>
      </c>
      <c r="F765" s="91"/>
      <c r="G765" s="92"/>
      <c r="H765" s="101">
        <f>ROUNDUP((H762)/200,0)</f>
        <v>2</v>
      </c>
      <c r="I765" s="38" t="s">
        <v>26</v>
      </c>
      <c r="J765" s="53"/>
      <c r="K765" s="51"/>
      <c r="L765" s="43"/>
      <c r="M765" s="150"/>
    </row>
    <row r="766" spans="1:13" s="13" customFormat="1" x14ac:dyDescent="0.2">
      <c r="A766" s="36" t="str">
        <f>IF(F766&lt;&gt;"",1+MAX($A$1:A765),"")</f>
        <v/>
      </c>
      <c r="B766" s="44"/>
      <c r="C766" s="38"/>
      <c r="D766" s="85"/>
      <c r="E766" s="90" t="s">
        <v>27</v>
      </c>
      <c r="F766" s="91"/>
      <c r="G766" s="92"/>
      <c r="H766" s="101">
        <f>ROUNDUP((H762)*5.25/1000,0)</f>
        <v>2</v>
      </c>
      <c r="I766" s="38" t="s">
        <v>28</v>
      </c>
      <c r="J766" s="53"/>
      <c r="K766" s="51"/>
      <c r="L766" s="43"/>
      <c r="M766" s="150"/>
    </row>
    <row r="767" spans="1:13" s="13" customFormat="1" x14ac:dyDescent="0.2">
      <c r="A767" s="36">
        <f>IF(F767&lt;&gt;"",1+MAX($A$1:A766),"")</f>
        <v>408</v>
      </c>
      <c r="B767" s="44" t="s">
        <v>82</v>
      </c>
      <c r="C767" s="38" t="s">
        <v>89</v>
      </c>
      <c r="D767" s="85"/>
      <c r="E767" s="24" t="s">
        <v>88</v>
      </c>
      <c r="F767" s="47">
        <f>19.6*2</f>
        <v>39.200000000000003</v>
      </c>
      <c r="G767" s="48">
        <v>0.1</v>
      </c>
      <c r="H767" s="49">
        <f t="shared" ref="H767:H768" si="208">F767*(1+G767)</f>
        <v>43.120000000000005</v>
      </c>
      <c r="I767" s="38" t="s">
        <v>13</v>
      </c>
      <c r="J767" s="53">
        <f>J$490</f>
        <v>0</v>
      </c>
      <c r="K767" s="51">
        <f t="shared" ref="K767:K768" si="209">J767*H767</f>
        <v>0</v>
      </c>
      <c r="L767" s="43"/>
      <c r="M767" s="150"/>
    </row>
    <row r="768" spans="1:13" s="13" customFormat="1" x14ac:dyDescent="0.2">
      <c r="A768" s="36">
        <f>IF(F768&lt;&gt;"",1+MAX($A$1:A767),"")</f>
        <v>409</v>
      </c>
      <c r="B768" s="44" t="s">
        <v>82</v>
      </c>
      <c r="C768" s="38" t="s">
        <v>89</v>
      </c>
      <c r="D768" s="85"/>
      <c r="E768" s="24" t="s">
        <v>96</v>
      </c>
      <c r="F768" s="47">
        <f t="shared" ref="F768" si="210">19.6*12</f>
        <v>235.20000000000002</v>
      </c>
      <c r="G768" s="48">
        <v>0.1</v>
      </c>
      <c r="H768" s="49">
        <f t="shared" si="208"/>
        <v>258.72000000000003</v>
      </c>
      <c r="I768" s="38" t="s">
        <v>16</v>
      </c>
      <c r="J768" s="53">
        <f>J$558</f>
        <v>0</v>
      </c>
      <c r="K768" s="51">
        <f t="shared" si="209"/>
        <v>0</v>
      </c>
      <c r="L768" s="43"/>
      <c r="M768" s="150"/>
    </row>
    <row r="769" spans="1:13" s="13" customFormat="1" x14ac:dyDescent="0.2">
      <c r="A769" s="36" t="str">
        <f>IF(F769&lt;&gt;"",1+MAX($A$1:A768),"")</f>
        <v/>
      </c>
      <c r="B769" s="44"/>
      <c r="C769" s="38"/>
      <c r="D769" s="85"/>
      <c r="E769" s="90"/>
      <c r="F769" s="91"/>
      <c r="G769" s="92"/>
      <c r="H769" s="49"/>
      <c r="I769" s="38"/>
      <c r="J769" s="53"/>
      <c r="K769" s="51"/>
      <c r="L769" s="43"/>
      <c r="M769" s="150"/>
    </row>
    <row r="770" spans="1:13" s="13" customFormat="1" x14ac:dyDescent="0.2">
      <c r="A770" s="36" t="str">
        <f>IF(F770&lt;&gt;"",1+MAX($A$1:A769),"")</f>
        <v/>
      </c>
      <c r="B770" s="44"/>
      <c r="C770" s="38"/>
      <c r="D770" s="85"/>
      <c r="E770" s="88" t="s">
        <v>116</v>
      </c>
      <c r="F770" s="47"/>
      <c r="G770" s="87"/>
      <c r="H770" s="49"/>
      <c r="I770" s="38"/>
      <c r="J770" s="53"/>
      <c r="K770" s="51"/>
      <c r="L770" s="43"/>
      <c r="M770" s="150"/>
    </row>
    <row r="771" spans="1:13" s="13" customFormat="1" x14ac:dyDescent="0.2">
      <c r="A771" s="36">
        <f>IF(F771&lt;&gt;"",1+MAX($A$1:A770),"")</f>
        <v>410</v>
      </c>
      <c r="B771" s="44" t="s">
        <v>82</v>
      </c>
      <c r="C771" s="38" t="s">
        <v>89</v>
      </c>
      <c r="D771" s="89"/>
      <c r="E771" s="24" t="s">
        <v>91</v>
      </c>
      <c r="F771" s="47">
        <f>12.3*12</f>
        <v>147.60000000000002</v>
      </c>
      <c r="G771" s="48">
        <v>0.1</v>
      </c>
      <c r="H771" s="49">
        <f>F771*(1+G771)</f>
        <v>162.36000000000004</v>
      </c>
      <c r="I771" s="38" t="s">
        <v>16</v>
      </c>
      <c r="J771" s="53">
        <f>J$485</f>
        <v>0</v>
      </c>
      <c r="K771" s="51">
        <f>J771*H771</f>
        <v>0</v>
      </c>
      <c r="L771" s="43"/>
      <c r="M771" s="150"/>
    </row>
    <row r="772" spans="1:13" s="13" customFormat="1" x14ac:dyDescent="0.2">
      <c r="A772" s="36" t="str">
        <f>IF(F772&lt;&gt;"",1+MAX($A$1:A771),"")</f>
        <v/>
      </c>
      <c r="B772" s="44"/>
      <c r="C772" s="38"/>
      <c r="D772" s="85"/>
      <c r="E772" s="90" t="s">
        <v>21</v>
      </c>
      <c r="F772" s="91"/>
      <c r="G772" s="92"/>
      <c r="H772" s="49">
        <f>ROUNDUP((H771)/32,0)</f>
        <v>6</v>
      </c>
      <c r="I772" s="38" t="s">
        <v>22</v>
      </c>
      <c r="J772" s="53"/>
      <c r="K772" s="51"/>
      <c r="L772" s="43"/>
      <c r="M772" s="150"/>
    </row>
    <row r="773" spans="1:13" s="13" customFormat="1" x14ac:dyDescent="0.2">
      <c r="A773" s="36" t="str">
        <f>IF(F773&lt;&gt;"",1+MAX($A$1:A772),"")</f>
        <v/>
      </c>
      <c r="B773" s="44"/>
      <c r="C773" s="38"/>
      <c r="D773" s="85"/>
      <c r="E773" s="90" t="s">
        <v>23</v>
      </c>
      <c r="F773" s="91"/>
      <c r="G773" s="92"/>
      <c r="H773" s="49">
        <f>ROUNDUP(H772*24/500,0)</f>
        <v>1</v>
      </c>
      <c r="I773" s="38" t="s">
        <v>24</v>
      </c>
      <c r="J773" s="53"/>
      <c r="K773" s="51"/>
      <c r="L773" s="43"/>
      <c r="M773" s="150"/>
    </row>
    <row r="774" spans="1:13" s="13" customFormat="1" x14ac:dyDescent="0.2">
      <c r="A774" s="36" t="str">
        <f>IF(F774&lt;&gt;"",1+MAX($A$1:A773),"")</f>
        <v/>
      </c>
      <c r="B774" s="44"/>
      <c r="C774" s="38"/>
      <c r="D774" s="85"/>
      <c r="E774" s="90" t="s">
        <v>25</v>
      </c>
      <c r="F774" s="91"/>
      <c r="G774" s="92"/>
      <c r="H774" s="101">
        <f>ROUNDUP((H771)/200,0)</f>
        <v>1</v>
      </c>
      <c r="I774" s="38" t="s">
        <v>26</v>
      </c>
      <c r="J774" s="53"/>
      <c r="K774" s="51"/>
      <c r="L774" s="43"/>
      <c r="M774" s="150"/>
    </row>
    <row r="775" spans="1:13" s="13" customFormat="1" x14ac:dyDescent="0.2">
      <c r="A775" s="36" t="str">
        <f>IF(F775&lt;&gt;"",1+MAX($A$1:A774),"")</f>
        <v/>
      </c>
      <c r="B775" s="44"/>
      <c r="C775" s="38"/>
      <c r="D775" s="85"/>
      <c r="E775" s="90" t="s">
        <v>27</v>
      </c>
      <c r="F775" s="91"/>
      <c r="G775" s="92"/>
      <c r="H775" s="101">
        <f>ROUNDUP((H771)*5.25/1000,0)</f>
        <v>1</v>
      </c>
      <c r="I775" s="38" t="s">
        <v>28</v>
      </c>
      <c r="J775" s="53"/>
      <c r="K775" s="51"/>
      <c r="L775" s="43"/>
      <c r="M775" s="150"/>
    </row>
    <row r="776" spans="1:13" s="13" customFormat="1" x14ac:dyDescent="0.2">
      <c r="A776" s="36">
        <f>IF(F776&lt;&gt;"",1+MAX($A$1:A775),"")</f>
        <v>411</v>
      </c>
      <c r="B776" s="44" t="s">
        <v>82</v>
      </c>
      <c r="C776" s="38" t="s">
        <v>89</v>
      </c>
      <c r="D776" s="85"/>
      <c r="E776" s="24" t="s">
        <v>88</v>
      </c>
      <c r="F776" s="47">
        <f>12.3*2</f>
        <v>24.6</v>
      </c>
      <c r="G776" s="48">
        <v>0.1</v>
      </c>
      <c r="H776" s="49">
        <f t="shared" ref="H776:H777" si="211">F776*(1+G776)</f>
        <v>27.060000000000002</v>
      </c>
      <c r="I776" s="38" t="s">
        <v>13</v>
      </c>
      <c r="J776" s="53">
        <f>J$490</f>
        <v>0</v>
      </c>
      <c r="K776" s="51">
        <f t="shared" ref="K776:K777" si="212">J776*H776</f>
        <v>0</v>
      </c>
      <c r="L776" s="43"/>
      <c r="M776" s="150"/>
    </row>
    <row r="777" spans="1:13" s="13" customFormat="1" x14ac:dyDescent="0.2">
      <c r="A777" s="36">
        <f>IF(F777&lt;&gt;"",1+MAX($A$1:A776),"")</f>
        <v>412</v>
      </c>
      <c r="B777" s="44" t="s">
        <v>82</v>
      </c>
      <c r="C777" s="38" t="s">
        <v>89</v>
      </c>
      <c r="D777" s="85"/>
      <c r="E777" s="24" t="s">
        <v>117</v>
      </c>
      <c r="F777" s="47">
        <f t="shared" ref="F777" si="213">12.3*12</f>
        <v>147.60000000000002</v>
      </c>
      <c r="G777" s="48">
        <v>0.1</v>
      </c>
      <c r="H777" s="49">
        <f t="shared" si="211"/>
        <v>162.36000000000004</v>
      </c>
      <c r="I777" s="38" t="s">
        <v>16</v>
      </c>
      <c r="J777" s="53">
        <f>J$500</f>
        <v>0</v>
      </c>
      <c r="K777" s="51">
        <f t="shared" si="212"/>
        <v>0</v>
      </c>
      <c r="L777" s="43"/>
      <c r="M777" s="150"/>
    </row>
    <row r="778" spans="1:13" s="13" customFormat="1" x14ac:dyDescent="0.2">
      <c r="A778" s="36" t="str">
        <f>IF(F778&lt;&gt;"",1+MAX($A$1:A777),"")</f>
        <v/>
      </c>
      <c r="B778" s="44"/>
      <c r="C778" s="38"/>
      <c r="D778" s="85"/>
      <c r="E778" s="90"/>
      <c r="F778" s="91"/>
      <c r="G778" s="92"/>
      <c r="H778" s="49"/>
      <c r="I778" s="38"/>
      <c r="J778" s="53"/>
      <c r="K778" s="51"/>
      <c r="L778" s="43"/>
      <c r="M778" s="150"/>
    </row>
    <row r="779" spans="1:13" s="13" customFormat="1" x14ac:dyDescent="0.2">
      <c r="A779" s="36" t="str">
        <f>IF(F779&lt;&gt;"",1+MAX($A$1:A778),"")</f>
        <v/>
      </c>
      <c r="B779" s="44"/>
      <c r="C779" s="38"/>
      <c r="D779" s="85"/>
      <c r="E779" s="88" t="s">
        <v>122</v>
      </c>
      <c r="F779" s="47"/>
      <c r="G779" s="87"/>
      <c r="H779" s="49"/>
      <c r="I779" s="38"/>
      <c r="J779" s="53"/>
      <c r="K779" s="51"/>
      <c r="L779" s="43"/>
      <c r="M779" s="150"/>
    </row>
    <row r="780" spans="1:13" s="13" customFormat="1" x14ac:dyDescent="0.2">
      <c r="A780" s="36">
        <f>IF(F780&lt;&gt;"",1+MAX($A$1:A779),"")</f>
        <v>413</v>
      </c>
      <c r="B780" s="44" t="s">
        <v>82</v>
      </c>
      <c r="C780" s="38" t="s">
        <v>89</v>
      </c>
      <c r="D780" s="89"/>
      <c r="E780" s="24" t="s">
        <v>98</v>
      </c>
      <c r="F780" s="47">
        <f>277.4*10</f>
        <v>2774</v>
      </c>
      <c r="G780" s="48">
        <v>0.1</v>
      </c>
      <c r="H780" s="49">
        <f>F780*(1+G780)</f>
        <v>3051.4</v>
      </c>
      <c r="I780" s="38" t="s">
        <v>16</v>
      </c>
      <c r="J780" s="53">
        <f>J$512</f>
        <v>0</v>
      </c>
      <c r="K780" s="51">
        <f>J780*H780</f>
        <v>0</v>
      </c>
      <c r="L780" s="43"/>
      <c r="M780" s="150"/>
    </row>
    <row r="781" spans="1:13" s="13" customFormat="1" x14ac:dyDescent="0.2">
      <c r="A781" s="36" t="str">
        <f>IF(F781&lt;&gt;"",1+MAX($A$1:A780),"")</f>
        <v/>
      </c>
      <c r="B781" s="44"/>
      <c r="C781" s="38"/>
      <c r="D781" s="85"/>
      <c r="E781" s="90" t="s">
        <v>21</v>
      </c>
      <c r="F781" s="91"/>
      <c r="G781" s="92"/>
      <c r="H781" s="49">
        <f>ROUNDUP((H780)/32,0)</f>
        <v>96</v>
      </c>
      <c r="I781" s="38" t="s">
        <v>22</v>
      </c>
      <c r="J781" s="53"/>
      <c r="K781" s="51"/>
      <c r="L781" s="43"/>
      <c r="M781" s="150"/>
    </row>
    <row r="782" spans="1:13" s="13" customFormat="1" x14ac:dyDescent="0.2">
      <c r="A782" s="36" t="str">
        <f>IF(F782&lt;&gt;"",1+MAX($A$1:A781),"")</f>
        <v/>
      </c>
      <c r="B782" s="44"/>
      <c r="C782" s="38"/>
      <c r="D782" s="85"/>
      <c r="E782" s="90" t="s">
        <v>23</v>
      </c>
      <c r="F782" s="91"/>
      <c r="G782" s="92"/>
      <c r="H782" s="49">
        <f>ROUNDUP(H781*24/500,0)</f>
        <v>5</v>
      </c>
      <c r="I782" s="38" t="s">
        <v>24</v>
      </c>
      <c r="J782" s="53"/>
      <c r="K782" s="51"/>
      <c r="L782" s="43"/>
      <c r="M782" s="150"/>
    </row>
    <row r="783" spans="1:13" s="13" customFormat="1" x14ac:dyDescent="0.2">
      <c r="A783" s="36" t="str">
        <f>IF(F783&lt;&gt;"",1+MAX($A$1:A782),"")</f>
        <v/>
      </c>
      <c r="B783" s="44"/>
      <c r="C783" s="38"/>
      <c r="D783" s="85"/>
      <c r="E783" s="90" t="s">
        <v>25</v>
      </c>
      <c r="F783" s="91"/>
      <c r="G783" s="92"/>
      <c r="H783" s="101">
        <f>ROUNDUP((H780)/200,0)</f>
        <v>16</v>
      </c>
      <c r="I783" s="38" t="s">
        <v>26</v>
      </c>
      <c r="J783" s="53"/>
      <c r="K783" s="51"/>
      <c r="L783" s="43"/>
      <c r="M783" s="150"/>
    </row>
    <row r="784" spans="1:13" s="13" customFormat="1" x14ac:dyDescent="0.2">
      <c r="A784" s="36" t="str">
        <f>IF(F784&lt;&gt;"",1+MAX($A$1:A783),"")</f>
        <v/>
      </c>
      <c r="B784" s="44"/>
      <c r="C784" s="38"/>
      <c r="D784" s="85"/>
      <c r="E784" s="90" t="s">
        <v>27</v>
      </c>
      <c r="F784" s="91"/>
      <c r="G784" s="92"/>
      <c r="H784" s="101">
        <f>ROUNDUP((H780)*5.25/1000,0)</f>
        <v>17</v>
      </c>
      <c r="I784" s="38" t="s">
        <v>28</v>
      </c>
      <c r="J784" s="53"/>
      <c r="K784" s="51"/>
      <c r="L784" s="43"/>
      <c r="M784" s="150"/>
    </row>
    <row r="785" spans="1:13" s="13" customFormat="1" x14ac:dyDescent="0.2">
      <c r="A785" s="36">
        <f>IF(F785&lt;&gt;"",1+MAX($A$1:A784),"")</f>
        <v>414</v>
      </c>
      <c r="B785" s="44" t="s">
        <v>82</v>
      </c>
      <c r="C785" s="38" t="s">
        <v>89</v>
      </c>
      <c r="D785" s="85"/>
      <c r="E785" s="24" t="s">
        <v>88</v>
      </c>
      <c r="F785" s="47">
        <f>277.4*2</f>
        <v>554.79999999999995</v>
      </c>
      <c r="G785" s="48">
        <v>0.1</v>
      </c>
      <c r="H785" s="49">
        <f t="shared" ref="H785" si="214">F785*(1+G785)</f>
        <v>610.28</v>
      </c>
      <c r="I785" s="38" t="s">
        <v>13</v>
      </c>
      <c r="J785" s="53">
        <f>J$490</f>
        <v>0</v>
      </c>
      <c r="K785" s="51">
        <f t="shared" ref="K785" si="215">J785*H785</f>
        <v>0</v>
      </c>
      <c r="L785" s="43"/>
      <c r="M785" s="150"/>
    </row>
    <row r="786" spans="1:13" s="13" customFormat="1" x14ac:dyDescent="0.2">
      <c r="A786" s="36">
        <f>IF(F786&lt;&gt;"",1+MAX($A$1:A785),"")</f>
        <v>415</v>
      </c>
      <c r="B786" s="44" t="s">
        <v>82</v>
      </c>
      <c r="C786" s="38" t="s">
        <v>89</v>
      </c>
      <c r="D786" s="85"/>
      <c r="E786" s="24" t="s">
        <v>123</v>
      </c>
      <c r="F786" s="47">
        <f>277.4*12</f>
        <v>3328.7999999999997</v>
      </c>
      <c r="G786" s="48">
        <v>0.1</v>
      </c>
      <c r="H786" s="49">
        <f t="shared" ref="H786" si="216">F786*(1+G786)</f>
        <v>3661.68</v>
      </c>
      <c r="I786" s="38" t="s">
        <v>16</v>
      </c>
      <c r="J786" s="53">
        <f>J$652</f>
        <v>0</v>
      </c>
      <c r="K786" s="51">
        <f t="shared" ref="K786" si="217">J786*H786</f>
        <v>0</v>
      </c>
      <c r="L786" s="43"/>
      <c r="M786" s="150"/>
    </row>
    <row r="787" spans="1:13" s="13" customFormat="1" x14ac:dyDescent="0.2">
      <c r="A787" s="36" t="str">
        <f>IF(F787&lt;&gt;"",1+MAX($A$1:A786),"")</f>
        <v/>
      </c>
      <c r="B787" s="44"/>
      <c r="C787" s="38"/>
      <c r="D787" s="85"/>
      <c r="E787" s="90"/>
      <c r="F787" s="91"/>
      <c r="G787" s="92"/>
      <c r="H787" s="49"/>
      <c r="I787" s="38"/>
      <c r="J787" s="53"/>
      <c r="K787" s="51"/>
      <c r="L787" s="43"/>
      <c r="M787" s="150"/>
    </row>
    <row r="788" spans="1:13" s="13" customFormat="1" x14ac:dyDescent="0.2">
      <c r="A788" s="36" t="str">
        <f>IF(F788&lt;&gt;"",1+MAX($A$1:A787),"")</f>
        <v/>
      </c>
      <c r="B788" s="44"/>
      <c r="C788" s="38"/>
      <c r="D788" s="85"/>
      <c r="E788" s="86" t="s">
        <v>73</v>
      </c>
      <c r="F788" s="47"/>
      <c r="G788" s="87"/>
      <c r="H788" s="49"/>
      <c r="I788" s="38"/>
      <c r="J788" s="53"/>
      <c r="K788" s="51"/>
      <c r="L788" s="43"/>
      <c r="M788" s="150"/>
    </row>
    <row r="789" spans="1:13" s="13" customFormat="1" x14ac:dyDescent="0.2">
      <c r="A789" s="36" t="str">
        <f>IF(F789&lt;&gt;"",1+MAX($A$1:A788),"")</f>
        <v/>
      </c>
      <c r="B789" s="44"/>
      <c r="C789" s="38"/>
      <c r="D789" s="85"/>
      <c r="E789" s="88" t="s">
        <v>122</v>
      </c>
      <c r="F789" s="47"/>
      <c r="G789" s="87"/>
      <c r="H789" s="49"/>
      <c r="I789" s="38"/>
      <c r="J789" s="53"/>
      <c r="K789" s="51"/>
      <c r="L789" s="43"/>
      <c r="M789" s="150"/>
    </row>
    <row r="790" spans="1:13" s="13" customFormat="1" x14ac:dyDescent="0.2">
      <c r="A790" s="36">
        <f>IF(F790&lt;&gt;"",1+MAX($A$1:A789),"")</f>
        <v>416</v>
      </c>
      <c r="B790" s="44" t="s">
        <v>82</v>
      </c>
      <c r="C790" s="38" t="s">
        <v>89</v>
      </c>
      <c r="D790" s="89"/>
      <c r="E790" s="24" t="s">
        <v>98</v>
      </c>
      <c r="F790" s="47">
        <f>60.1*9.25</f>
        <v>555.92500000000007</v>
      </c>
      <c r="G790" s="48">
        <v>0.1</v>
      </c>
      <c r="H790" s="49">
        <f>F790*(1+G790)</f>
        <v>611.51750000000015</v>
      </c>
      <c r="I790" s="38" t="s">
        <v>16</v>
      </c>
      <c r="J790" s="53">
        <f>J$512</f>
        <v>0</v>
      </c>
      <c r="K790" s="51">
        <f>J790*H790</f>
        <v>0</v>
      </c>
      <c r="L790" s="43"/>
      <c r="M790" s="150"/>
    </row>
    <row r="791" spans="1:13" s="13" customFormat="1" x14ac:dyDescent="0.2">
      <c r="A791" s="36" t="str">
        <f>IF(F791&lt;&gt;"",1+MAX($A$1:A790),"")</f>
        <v/>
      </c>
      <c r="B791" s="44"/>
      <c r="C791" s="38"/>
      <c r="D791" s="85"/>
      <c r="E791" s="90" t="s">
        <v>21</v>
      </c>
      <c r="F791" s="91"/>
      <c r="G791" s="92"/>
      <c r="H791" s="49">
        <f>ROUNDUP((H790)/32,0)</f>
        <v>20</v>
      </c>
      <c r="I791" s="38" t="s">
        <v>22</v>
      </c>
      <c r="J791" s="53"/>
      <c r="K791" s="51"/>
      <c r="L791" s="43"/>
      <c r="M791" s="150"/>
    </row>
    <row r="792" spans="1:13" s="13" customFormat="1" x14ac:dyDescent="0.2">
      <c r="A792" s="36" t="str">
        <f>IF(F792&lt;&gt;"",1+MAX($A$1:A791),"")</f>
        <v/>
      </c>
      <c r="B792" s="44"/>
      <c r="C792" s="38"/>
      <c r="D792" s="85"/>
      <c r="E792" s="90" t="s">
        <v>23</v>
      </c>
      <c r="F792" s="91"/>
      <c r="G792" s="92"/>
      <c r="H792" s="49">
        <f>ROUNDUP(H791*24/500,0)</f>
        <v>1</v>
      </c>
      <c r="I792" s="38" t="s">
        <v>24</v>
      </c>
      <c r="J792" s="53"/>
      <c r="K792" s="51"/>
      <c r="L792" s="43"/>
      <c r="M792" s="150"/>
    </row>
    <row r="793" spans="1:13" s="13" customFormat="1" x14ac:dyDescent="0.2">
      <c r="A793" s="36" t="str">
        <f>IF(F793&lt;&gt;"",1+MAX($A$1:A792),"")</f>
        <v/>
      </c>
      <c r="B793" s="44"/>
      <c r="C793" s="38"/>
      <c r="D793" s="85"/>
      <c r="E793" s="90" t="s">
        <v>25</v>
      </c>
      <c r="F793" s="91"/>
      <c r="G793" s="92"/>
      <c r="H793" s="101">
        <f>ROUNDUP((H790)/200,0)</f>
        <v>4</v>
      </c>
      <c r="I793" s="38" t="s">
        <v>26</v>
      </c>
      <c r="J793" s="53"/>
      <c r="K793" s="51"/>
      <c r="L793" s="43"/>
      <c r="M793" s="150"/>
    </row>
    <row r="794" spans="1:13" s="13" customFormat="1" x14ac:dyDescent="0.2">
      <c r="A794" s="36" t="str">
        <f>IF(F794&lt;&gt;"",1+MAX($A$1:A793),"")</f>
        <v/>
      </c>
      <c r="B794" s="44"/>
      <c r="C794" s="38"/>
      <c r="D794" s="85"/>
      <c r="E794" s="90" t="s">
        <v>27</v>
      </c>
      <c r="F794" s="91"/>
      <c r="G794" s="92"/>
      <c r="H794" s="101">
        <f>ROUNDUP((H790)*5.25/1000,0)</f>
        <v>4</v>
      </c>
      <c r="I794" s="38" t="s">
        <v>28</v>
      </c>
      <c r="J794" s="53"/>
      <c r="K794" s="51"/>
      <c r="L794" s="43"/>
      <c r="M794" s="150"/>
    </row>
    <row r="795" spans="1:13" s="13" customFormat="1" x14ac:dyDescent="0.2">
      <c r="A795" s="36">
        <f>IF(F795&lt;&gt;"",1+MAX($A$1:A794),"")</f>
        <v>417</v>
      </c>
      <c r="B795" s="44" t="s">
        <v>82</v>
      </c>
      <c r="C795" s="38" t="s">
        <v>89</v>
      </c>
      <c r="D795" s="85"/>
      <c r="E795" s="24" t="s">
        <v>88</v>
      </c>
      <c r="F795" s="47">
        <f>60.1*2</f>
        <v>120.2</v>
      </c>
      <c r="G795" s="48">
        <v>0.1</v>
      </c>
      <c r="H795" s="49">
        <f t="shared" ref="H795:H796" si="218">F795*(1+G795)</f>
        <v>132.22000000000003</v>
      </c>
      <c r="I795" s="38" t="s">
        <v>13</v>
      </c>
      <c r="J795" s="53">
        <f>J$490</f>
        <v>0</v>
      </c>
      <c r="K795" s="51">
        <f t="shared" ref="K795:K796" si="219">J795*H795</f>
        <v>0</v>
      </c>
      <c r="L795" s="43"/>
      <c r="M795" s="150"/>
    </row>
    <row r="796" spans="1:13" s="13" customFormat="1" x14ac:dyDescent="0.2">
      <c r="A796" s="36">
        <f>IF(F796&lt;&gt;"",1+MAX($A$1:A795),"")</f>
        <v>418</v>
      </c>
      <c r="B796" s="44" t="s">
        <v>82</v>
      </c>
      <c r="C796" s="38" t="s">
        <v>89</v>
      </c>
      <c r="D796" s="85"/>
      <c r="E796" s="24" t="s">
        <v>123</v>
      </c>
      <c r="F796" s="47">
        <f t="shared" ref="F796" si="220">60.1*9.25</f>
        <v>555.92500000000007</v>
      </c>
      <c r="G796" s="48">
        <v>0.1</v>
      </c>
      <c r="H796" s="49">
        <f t="shared" si="218"/>
        <v>611.51750000000015</v>
      </c>
      <c r="I796" s="38" t="s">
        <v>16</v>
      </c>
      <c r="J796" s="53">
        <f>J$652</f>
        <v>0</v>
      </c>
      <c r="K796" s="51">
        <f t="shared" si="219"/>
        <v>0</v>
      </c>
      <c r="L796" s="43"/>
      <c r="M796" s="150"/>
    </row>
    <row r="797" spans="1:13" x14ac:dyDescent="0.2">
      <c r="A797" s="36" t="str">
        <f>IF(F797&lt;&gt;"",1+MAX($A$1:A796),"")</f>
        <v/>
      </c>
      <c r="B797" s="44"/>
      <c r="C797" s="38"/>
      <c r="D797" s="85"/>
      <c r="E797" s="102"/>
      <c r="F797" s="49"/>
      <c r="G797" s="87"/>
      <c r="H797" s="49"/>
      <c r="I797" s="38"/>
      <c r="J797" s="94"/>
      <c r="K797" s="95"/>
      <c r="L797" s="40"/>
      <c r="M797" s="153"/>
    </row>
    <row r="798" spans="1:13" x14ac:dyDescent="0.2">
      <c r="A798" s="36" t="str">
        <f>IF(F798&lt;&gt;"",1+MAX($A$1:A797),"")</f>
        <v/>
      </c>
      <c r="B798" s="44"/>
      <c r="C798" s="38"/>
      <c r="D798" s="85"/>
      <c r="E798" s="55" t="s">
        <v>30</v>
      </c>
      <c r="F798" s="47"/>
      <c r="G798" s="87"/>
      <c r="H798" s="49"/>
      <c r="I798" s="38"/>
      <c r="J798" s="94"/>
      <c r="K798" s="56"/>
      <c r="L798" s="56">
        <f>SUM(K482:K797)</f>
        <v>0</v>
      </c>
      <c r="M798" s="153"/>
    </row>
    <row r="799" spans="1:13" s="12" customFormat="1" ht="18.75" x14ac:dyDescent="0.2">
      <c r="A799" s="36" t="str">
        <f>IF(F799&lt;&gt;"",1+MAX($A$1:A798),"")</f>
        <v/>
      </c>
      <c r="B799" s="64"/>
      <c r="C799" s="37"/>
      <c r="D799" s="75"/>
      <c r="E799" s="46"/>
      <c r="F799" s="52"/>
      <c r="G799" s="48"/>
      <c r="H799" s="41"/>
      <c r="I799" s="37"/>
      <c r="J799" s="77"/>
      <c r="K799" s="42"/>
      <c r="L799" s="134"/>
      <c r="M799" s="154"/>
    </row>
    <row r="800" spans="1:13" x14ac:dyDescent="0.2">
      <c r="A800" s="36" t="str">
        <f>IF(F800&lt;&gt;"",1+MAX($A$1:A799),"")</f>
        <v/>
      </c>
      <c r="B800" s="44"/>
      <c r="C800" s="38"/>
      <c r="D800" s="44"/>
      <c r="E800" s="55" t="s">
        <v>31</v>
      </c>
      <c r="F800" s="47"/>
      <c r="G800" s="87"/>
      <c r="H800" s="49"/>
      <c r="I800" s="38"/>
      <c r="J800" s="79"/>
      <c r="K800" s="93"/>
      <c r="L800" s="133"/>
      <c r="M800" s="153"/>
    </row>
    <row r="801" spans="1:13" s="12" customFormat="1" ht="63" x14ac:dyDescent="0.2">
      <c r="A801" s="36">
        <f>IF(F801&lt;&gt;"",1+MAX($A$1:A800),"")</f>
        <v>419</v>
      </c>
      <c r="B801" s="44" t="s">
        <v>125</v>
      </c>
      <c r="C801" s="37" t="s">
        <v>124</v>
      </c>
      <c r="D801" s="75"/>
      <c r="E801" s="46" t="s">
        <v>434</v>
      </c>
      <c r="F801" s="52">
        <f>7262</f>
        <v>7262</v>
      </c>
      <c r="G801" s="48">
        <v>0.1</v>
      </c>
      <c r="H801" s="41">
        <f>F801*(1+G801)</f>
        <v>7988.2000000000007</v>
      </c>
      <c r="I801" s="37" t="s">
        <v>16</v>
      </c>
      <c r="J801" s="53">
        <v>0</v>
      </c>
      <c r="K801" s="42">
        <f>J801*H801</f>
        <v>0</v>
      </c>
      <c r="L801" s="134"/>
      <c r="M801" s="154"/>
    </row>
    <row r="802" spans="1:13" s="12" customFormat="1" ht="47.25" x14ac:dyDescent="0.2">
      <c r="A802" s="36">
        <f>IF(F802&lt;&gt;"",1+MAX($A$1:A801),"")</f>
        <v>420</v>
      </c>
      <c r="B802" s="44" t="s">
        <v>125</v>
      </c>
      <c r="C802" s="37" t="s">
        <v>124</v>
      </c>
      <c r="D802" s="75"/>
      <c r="E802" s="46" t="s">
        <v>435</v>
      </c>
      <c r="F802" s="52">
        <v>3459</v>
      </c>
      <c r="G802" s="48">
        <v>0.1</v>
      </c>
      <c r="H802" s="41">
        <f>F802*(1+G802)</f>
        <v>3804.9</v>
      </c>
      <c r="I802" s="37" t="s">
        <v>16</v>
      </c>
      <c r="J802" s="53">
        <v>0</v>
      </c>
      <c r="K802" s="42">
        <f>J802*H802</f>
        <v>0</v>
      </c>
      <c r="L802" s="134"/>
      <c r="M802" s="154"/>
    </row>
    <row r="803" spans="1:13" s="12" customFormat="1" ht="31.5" x14ac:dyDescent="0.2">
      <c r="A803" s="36">
        <f>IF(F803&lt;&gt;"",1+MAX($A$1:A802),"")</f>
        <v>421</v>
      </c>
      <c r="B803" s="44" t="s">
        <v>125</v>
      </c>
      <c r="C803" s="37" t="s">
        <v>151</v>
      </c>
      <c r="D803" s="75"/>
      <c r="E803" s="46" t="s">
        <v>436</v>
      </c>
      <c r="F803" s="52">
        <f>222+28.2*8.67+48.3*3.83</f>
        <v>651.48300000000006</v>
      </c>
      <c r="G803" s="48">
        <v>0.1</v>
      </c>
      <c r="H803" s="41">
        <f>F803*(1+G803)</f>
        <v>716.63130000000012</v>
      </c>
      <c r="I803" s="37" t="s">
        <v>16</v>
      </c>
      <c r="J803" s="53">
        <v>0</v>
      </c>
      <c r="K803" s="42">
        <f>J803*H803</f>
        <v>0</v>
      </c>
      <c r="L803" s="134"/>
      <c r="M803" s="154"/>
    </row>
    <row r="804" spans="1:13" s="12" customFormat="1" ht="31.5" x14ac:dyDescent="0.2">
      <c r="A804" s="36">
        <f>IF(F804&lt;&gt;"",1+MAX($A$1:A803),"")</f>
        <v>422</v>
      </c>
      <c r="B804" s="44" t="s">
        <v>125</v>
      </c>
      <c r="C804" s="37" t="s">
        <v>151</v>
      </c>
      <c r="D804" s="75"/>
      <c r="E804" s="46" t="s">
        <v>437</v>
      </c>
      <c r="F804" s="52">
        <f>10.4*3.83</f>
        <v>39.832000000000001</v>
      </c>
      <c r="G804" s="48">
        <v>0.1</v>
      </c>
      <c r="H804" s="41">
        <f>F804*(1+G804)</f>
        <v>43.815200000000004</v>
      </c>
      <c r="I804" s="37" t="s">
        <v>16</v>
      </c>
      <c r="J804" s="53">
        <v>0</v>
      </c>
      <c r="K804" s="42">
        <f>J804*H804</f>
        <v>0</v>
      </c>
      <c r="L804" s="134"/>
      <c r="M804" s="154"/>
    </row>
    <row r="805" spans="1:13" x14ac:dyDescent="0.2">
      <c r="A805" s="36" t="str">
        <f>IF(F805&lt;&gt;"",1+MAX($A$1:A804),"")</f>
        <v/>
      </c>
      <c r="B805" s="44"/>
      <c r="C805" s="38"/>
      <c r="D805" s="85"/>
      <c r="E805" s="40"/>
      <c r="F805" s="49"/>
      <c r="G805" s="87"/>
      <c r="H805" s="49"/>
      <c r="I805" s="38"/>
      <c r="J805" s="94"/>
      <c r="K805" s="95"/>
      <c r="L805" s="40"/>
      <c r="M805" s="153"/>
    </row>
    <row r="806" spans="1:13" x14ac:dyDescent="0.2">
      <c r="A806" s="36" t="str">
        <f>IF(F806&lt;&gt;"",1+MAX($A$1:A805),"")</f>
        <v/>
      </c>
      <c r="B806" s="44"/>
      <c r="C806" s="38"/>
      <c r="D806" s="85"/>
      <c r="E806" s="55" t="s">
        <v>32</v>
      </c>
      <c r="F806" s="47"/>
      <c r="G806" s="87"/>
      <c r="H806" s="49"/>
      <c r="I806" s="38"/>
      <c r="J806" s="94"/>
      <c r="K806" s="56"/>
      <c r="L806" s="56">
        <f>SUM(K800:K805)</f>
        <v>0</v>
      </c>
      <c r="M806" s="153"/>
    </row>
    <row r="807" spans="1:13" s="12" customFormat="1" ht="18.75" x14ac:dyDescent="0.2">
      <c r="A807" s="36" t="str">
        <f>IF(F807&lt;&gt;"",1+MAX($A$1:A806),"")</f>
        <v/>
      </c>
      <c r="B807" s="64"/>
      <c r="C807" s="37"/>
      <c r="D807" s="75"/>
      <c r="E807" s="46"/>
      <c r="F807" s="52"/>
      <c r="G807" s="48"/>
      <c r="H807" s="41"/>
      <c r="I807" s="37"/>
      <c r="J807" s="77"/>
      <c r="K807" s="42"/>
      <c r="L807" s="134"/>
      <c r="M807" s="154"/>
    </row>
    <row r="808" spans="1:13" x14ac:dyDescent="0.2">
      <c r="A808" s="36" t="str">
        <f>IF(F808&lt;&gt;"",1+MAX($A$1:A807),"")</f>
        <v/>
      </c>
      <c r="B808" s="44"/>
      <c r="C808" s="38"/>
      <c r="D808" s="44"/>
      <c r="E808" s="55" t="s">
        <v>67</v>
      </c>
      <c r="F808" s="47"/>
      <c r="G808" s="87"/>
      <c r="H808" s="49"/>
      <c r="I808" s="38"/>
      <c r="J808" s="79"/>
      <c r="K808" s="93"/>
      <c r="L808" s="133"/>
      <c r="M808" s="153"/>
    </row>
    <row r="809" spans="1:13" s="12" customFormat="1" ht="18.75" x14ac:dyDescent="0.2">
      <c r="A809" s="36">
        <f>IF(F809&lt;&gt;"",1+MAX($A$1:A808),"")</f>
        <v>423</v>
      </c>
      <c r="B809" s="44" t="s">
        <v>125</v>
      </c>
      <c r="C809" s="37"/>
      <c r="D809" s="75"/>
      <c r="E809" s="46" t="s">
        <v>126</v>
      </c>
      <c r="F809" s="52">
        <v>72</v>
      </c>
      <c r="G809" s="48">
        <v>0.1</v>
      </c>
      <c r="H809" s="41">
        <f>F809*(1+G809)</f>
        <v>79.2</v>
      </c>
      <c r="I809" s="37" t="s">
        <v>16</v>
      </c>
      <c r="J809" s="50">
        <v>0</v>
      </c>
      <c r="K809" s="42">
        <f>J809*H809</f>
        <v>0</v>
      </c>
      <c r="L809" s="134"/>
      <c r="M809" s="154"/>
    </row>
    <row r="810" spans="1:13" x14ac:dyDescent="0.2">
      <c r="A810" s="36" t="str">
        <f>IF(F810&lt;&gt;"",1+MAX($A$1:A809),"")</f>
        <v/>
      </c>
      <c r="B810" s="44"/>
      <c r="C810" s="38"/>
      <c r="D810" s="85"/>
      <c r="E810" s="40"/>
      <c r="F810" s="49"/>
      <c r="G810" s="87"/>
      <c r="H810" s="49"/>
      <c r="I810" s="38"/>
      <c r="J810" s="94"/>
      <c r="K810" s="95"/>
      <c r="L810" s="40"/>
      <c r="M810" s="153"/>
    </row>
    <row r="811" spans="1:13" x14ac:dyDescent="0.2">
      <c r="A811" s="36" t="str">
        <f>IF(F811&lt;&gt;"",1+MAX($A$1:A810),"")</f>
        <v/>
      </c>
      <c r="B811" s="44"/>
      <c r="C811" s="38"/>
      <c r="D811" s="85"/>
      <c r="E811" s="55" t="s">
        <v>68</v>
      </c>
      <c r="F811" s="47"/>
      <c r="G811" s="87"/>
      <c r="H811" s="49"/>
      <c r="I811" s="38"/>
      <c r="J811" s="94"/>
      <c r="K811" s="56"/>
      <c r="L811" s="56">
        <f>SUM(K808:K810)</f>
        <v>0</v>
      </c>
      <c r="M811" s="153"/>
    </row>
    <row r="812" spans="1:13" s="12" customFormat="1" ht="18.75" x14ac:dyDescent="0.2">
      <c r="A812" s="36" t="str">
        <f>IF(F812&lt;&gt;"",1+MAX($A$1:A811),"")</f>
        <v/>
      </c>
      <c r="B812" s="64"/>
      <c r="C812" s="37"/>
      <c r="D812" s="75"/>
      <c r="E812" s="46"/>
      <c r="F812" s="52"/>
      <c r="G812" s="48"/>
      <c r="H812" s="41"/>
      <c r="I812" s="37"/>
      <c r="J812" s="77"/>
      <c r="K812" s="42"/>
      <c r="L812" s="134"/>
      <c r="M812" s="154"/>
    </row>
    <row r="813" spans="1:13" x14ac:dyDescent="0.2">
      <c r="A813" s="36" t="str">
        <f>IF(F813&lt;&gt;"",1+MAX($A$1:A812),"")</f>
        <v/>
      </c>
      <c r="B813" s="44"/>
      <c r="C813" s="44"/>
      <c r="D813" s="44"/>
      <c r="E813" s="55" t="s">
        <v>217</v>
      </c>
      <c r="F813" s="47"/>
      <c r="G813" s="87"/>
      <c r="H813" s="49"/>
      <c r="I813" s="38"/>
      <c r="J813" s="79"/>
      <c r="K813" s="93"/>
      <c r="L813" s="133"/>
      <c r="M813" s="153"/>
    </row>
    <row r="814" spans="1:13" s="15" customFormat="1" ht="94.5" x14ac:dyDescent="0.2">
      <c r="A814" s="36">
        <f>IF(F814&lt;&gt;"",1+MAX($A$1:A813),"")</f>
        <v>424</v>
      </c>
      <c r="B814" s="44" t="s">
        <v>218</v>
      </c>
      <c r="C814" s="64" t="s">
        <v>219</v>
      </c>
      <c r="D814" s="75"/>
      <c r="E814" s="46" t="s">
        <v>438</v>
      </c>
      <c r="F814" s="52">
        <v>852</v>
      </c>
      <c r="G814" s="48">
        <v>0.1</v>
      </c>
      <c r="H814" s="41">
        <f t="shared" ref="H814:H817" si="221">F814*(1+G814)</f>
        <v>937.2</v>
      </c>
      <c r="I814" s="37" t="s">
        <v>16</v>
      </c>
      <c r="J814" s="50">
        <v>0</v>
      </c>
      <c r="K814" s="42">
        <f t="shared" ref="K814:K817" si="222">J814*H814</f>
        <v>0</v>
      </c>
      <c r="L814" s="134"/>
      <c r="M814" s="154"/>
    </row>
    <row r="815" spans="1:13" s="15" customFormat="1" ht="78.75" x14ac:dyDescent="0.2">
      <c r="A815" s="36">
        <f>IF(F815&lt;&gt;"",1+MAX($A$1:A814),"")</f>
        <v>425</v>
      </c>
      <c r="B815" s="44" t="s">
        <v>218</v>
      </c>
      <c r="C815" s="64" t="s">
        <v>219</v>
      </c>
      <c r="D815" s="75"/>
      <c r="E815" s="46" t="s">
        <v>439</v>
      </c>
      <c r="F815" s="52">
        <v>289</v>
      </c>
      <c r="G815" s="48">
        <v>0.1</v>
      </c>
      <c r="H815" s="41">
        <f t="shared" si="221"/>
        <v>317.90000000000003</v>
      </c>
      <c r="I815" s="37" t="s">
        <v>16</v>
      </c>
      <c r="J815" s="50">
        <v>0</v>
      </c>
      <c r="K815" s="42">
        <f t="shared" si="222"/>
        <v>0</v>
      </c>
      <c r="L815" s="134"/>
      <c r="M815" s="154"/>
    </row>
    <row r="816" spans="1:13" s="15" customFormat="1" ht="94.5" x14ac:dyDescent="0.2">
      <c r="A816" s="36">
        <f>IF(F816&lt;&gt;"",1+MAX($A$1:A815),"")</f>
        <v>426</v>
      </c>
      <c r="B816" s="44" t="s">
        <v>218</v>
      </c>
      <c r="C816" s="64" t="s">
        <v>219</v>
      </c>
      <c r="D816" s="75"/>
      <c r="E816" s="46" t="s">
        <v>440</v>
      </c>
      <c r="F816" s="52">
        <f>79*4+123*10</f>
        <v>1546</v>
      </c>
      <c r="G816" s="48">
        <v>0.1</v>
      </c>
      <c r="H816" s="41">
        <f t="shared" si="221"/>
        <v>1700.6000000000001</v>
      </c>
      <c r="I816" s="37" t="s">
        <v>16</v>
      </c>
      <c r="J816" s="50">
        <v>0</v>
      </c>
      <c r="K816" s="42">
        <f t="shared" si="222"/>
        <v>0</v>
      </c>
      <c r="L816" s="134"/>
      <c r="M816" s="154"/>
    </row>
    <row r="817" spans="1:13" s="15" customFormat="1" ht="47.25" x14ac:dyDescent="0.2">
      <c r="A817" s="36">
        <f>IF(F817&lt;&gt;"",1+MAX($A$1:A816),"")</f>
        <v>427</v>
      </c>
      <c r="B817" s="44" t="s">
        <v>218</v>
      </c>
      <c r="C817" s="64" t="s">
        <v>219</v>
      </c>
      <c r="D817" s="75"/>
      <c r="E817" s="46" t="s">
        <v>441</v>
      </c>
      <c r="F817" s="52">
        <f>104*1.67</f>
        <v>173.68</v>
      </c>
      <c r="G817" s="48">
        <v>0.1</v>
      </c>
      <c r="H817" s="41">
        <f t="shared" si="221"/>
        <v>191.04800000000003</v>
      </c>
      <c r="I817" s="37" t="s">
        <v>16</v>
      </c>
      <c r="J817" s="50">
        <v>0</v>
      </c>
      <c r="K817" s="42">
        <f t="shared" si="222"/>
        <v>0</v>
      </c>
      <c r="L817" s="134"/>
      <c r="M817" s="154"/>
    </row>
    <row r="818" spans="1:13" s="15" customFormat="1" ht="94.5" x14ac:dyDescent="0.2">
      <c r="A818" s="36">
        <f>IF(F818&lt;&gt;"",1+MAX($A$1:A817),"")</f>
        <v>428</v>
      </c>
      <c r="B818" s="44" t="s">
        <v>218</v>
      </c>
      <c r="C818" s="64" t="s">
        <v>219</v>
      </c>
      <c r="D818" s="75"/>
      <c r="E818" s="46" t="s">
        <v>442</v>
      </c>
      <c r="F818" s="52">
        <v>450</v>
      </c>
      <c r="G818" s="48">
        <v>0.1</v>
      </c>
      <c r="H818" s="41">
        <f>F818*(1+G818)</f>
        <v>495.00000000000006</v>
      </c>
      <c r="I818" s="37" t="s">
        <v>13</v>
      </c>
      <c r="J818" s="53">
        <v>0</v>
      </c>
      <c r="K818" s="42">
        <f>J818*H818</f>
        <v>0</v>
      </c>
      <c r="L818" s="134"/>
      <c r="M818" s="154"/>
    </row>
    <row r="819" spans="1:13" x14ac:dyDescent="0.2">
      <c r="A819" s="36" t="str">
        <f>IF(F819&lt;&gt;"",1+MAX($A$1:A818),"")</f>
        <v/>
      </c>
      <c r="B819" s="44"/>
      <c r="C819" s="44"/>
      <c r="D819" s="85"/>
      <c r="E819" s="40"/>
      <c r="F819" s="49"/>
      <c r="G819" s="87"/>
      <c r="H819" s="49"/>
      <c r="I819" s="38"/>
      <c r="J819" s="94"/>
      <c r="K819" s="95"/>
      <c r="L819" s="40"/>
      <c r="M819" s="153"/>
    </row>
    <row r="820" spans="1:13" x14ac:dyDescent="0.2">
      <c r="A820" s="36" t="str">
        <f>IF(F820&lt;&gt;"",1+MAX($A$1:A819),"")</f>
        <v/>
      </c>
      <c r="B820" s="44"/>
      <c r="C820" s="44"/>
      <c r="D820" s="85"/>
      <c r="E820" s="55" t="s">
        <v>220</v>
      </c>
      <c r="F820" s="47"/>
      <c r="G820" s="87"/>
      <c r="H820" s="49"/>
      <c r="I820" s="38"/>
      <c r="J820" s="94"/>
      <c r="K820" s="56"/>
      <c r="L820" s="56">
        <f>SUM(K813:K819)</f>
        <v>0</v>
      </c>
      <c r="M820" s="153"/>
    </row>
    <row r="821" spans="1:13" s="12" customFormat="1" ht="18.75" x14ac:dyDescent="0.2">
      <c r="A821" s="36" t="str">
        <f>IF(F821&lt;&gt;"",1+MAX($A$1:A820),"")</f>
        <v/>
      </c>
      <c r="B821" s="64"/>
      <c r="C821" s="64"/>
      <c r="D821" s="75"/>
      <c r="E821" s="46"/>
      <c r="F821" s="52"/>
      <c r="G821" s="48"/>
      <c r="H821" s="41"/>
      <c r="I821" s="37"/>
      <c r="J821" s="77"/>
      <c r="K821" s="42"/>
      <c r="L821" s="134"/>
      <c r="M821" s="154"/>
    </row>
    <row r="822" spans="1:13" x14ac:dyDescent="0.2">
      <c r="A822" s="36" t="str">
        <f>IF(F822&lt;&gt;"",1+MAX($A$1:A821),"")</f>
        <v/>
      </c>
      <c r="B822" s="44"/>
      <c r="C822" s="44"/>
      <c r="D822" s="44"/>
      <c r="E822" s="55" t="s">
        <v>248</v>
      </c>
      <c r="F822" s="47"/>
      <c r="G822" s="87"/>
      <c r="H822" s="49"/>
      <c r="I822" s="38"/>
      <c r="J822" s="79"/>
      <c r="K822" s="93"/>
      <c r="L822" s="133"/>
      <c r="M822" s="153"/>
    </row>
    <row r="823" spans="1:13" s="15" customFormat="1" ht="94.5" x14ac:dyDescent="0.2">
      <c r="A823" s="36">
        <f>IF(F823&lt;&gt;"",1+MAX($A$1:A822),"")</f>
        <v>429</v>
      </c>
      <c r="B823" s="44" t="s">
        <v>218</v>
      </c>
      <c r="C823" s="64" t="s">
        <v>219</v>
      </c>
      <c r="D823" s="75"/>
      <c r="E823" s="46" t="s">
        <v>443</v>
      </c>
      <c r="F823" s="52">
        <v>5748</v>
      </c>
      <c r="G823" s="48">
        <v>0.1</v>
      </c>
      <c r="H823" s="41">
        <f t="shared" ref="H823" si="223">F823*(1+G823)</f>
        <v>6322.8</v>
      </c>
      <c r="I823" s="37" t="s">
        <v>16</v>
      </c>
      <c r="J823" s="53">
        <v>0</v>
      </c>
      <c r="K823" s="42">
        <f t="shared" ref="K823" si="224">J823*H823</f>
        <v>0</v>
      </c>
      <c r="L823" s="134"/>
      <c r="M823" s="154"/>
    </row>
    <row r="824" spans="1:13" x14ac:dyDescent="0.2">
      <c r="A824" s="36" t="str">
        <f>IF(F824&lt;&gt;"",1+MAX($A$1:A823),"")</f>
        <v/>
      </c>
      <c r="B824" s="44"/>
      <c r="C824" s="44"/>
      <c r="D824" s="85"/>
      <c r="E824" s="40"/>
      <c r="F824" s="49"/>
      <c r="G824" s="87"/>
      <c r="H824" s="49"/>
      <c r="I824" s="38"/>
      <c r="J824" s="94"/>
      <c r="K824" s="95"/>
      <c r="L824" s="40"/>
      <c r="M824" s="153"/>
    </row>
    <row r="825" spans="1:13" x14ac:dyDescent="0.2">
      <c r="A825" s="36" t="str">
        <f>IF(F825&lt;&gt;"",1+MAX($A$1:A824),"")</f>
        <v/>
      </c>
      <c r="B825" s="44"/>
      <c r="C825" s="44"/>
      <c r="D825" s="85"/>
      <c r="E825" s="55" t="s">
        <v>249</v>
      </c>
      <c r="F825" s="47"/>
      <c r="G825" s="87"/>
      <c r="H825" s="49"/>
      <c r="I825" s="38"/>
      <c r="J825" s="94"/>
      <c r="K825" s="56"/>
      <c r="L825" s="56">
        <f>SUM(K822:K824)</f>
        <v>0</v>
      </c>
      <c r="M825" s="153"/>
    </row>
    <row r="826" spans="1:13" s="12" customFormat="1" ht="18.75" x14ac:dyDescent="0.2">
      <c r="A826" s="36" t="str">
        <f>IF(F826&lt;&gt;"",1+MAX($A$1:A825),"")</f>
        <v/>
      </c>
      <c r="B826" s="64"/>
      <c r="C826" s="64"/>
      <c r="D826" s="75"/>
      <c r="E826" s="46"/>
      <c r="F826" s="52"/>
      <c r="G826" s="48"/>
      <c r="H826" s="41"/>
      <c r="I826" s="37"/>
      <c r="J826" s="77"/>
      <c r="K826" s="42"/>
      <c r="L826" s="134"/>
      <c r="M826" s="154"/>
    </row>
    <row r="827" spans="1:13" x14ac:dyDescent="0.2">
      <c r="A827" s="36" t="str">
        <f>IF(F827&lt;&gt;"",1+MAX($A$1:A826),"")</f>
        <v/>
      </c>
      <c r="B827" s="44"/>
      <c r="C827" s="44"/>
      <c r="D827" s="44"/>
      <c r="E827" s="55" t="s">
        <v>250</v>
      </c>
      <c r="F827" s="47"/>
      <c r="G827" s="87"/>
      <c r="H827" s="49"/>
      <c r="I827" s="38"/>
      <c r="J827" s="79"/>
      <c r="K827" s="93"/>
      <c r="L827" s="133"/>
      <c r="M827" s="153"/>
    </row>
    <row r="828" spans="1:13" s="15" customFormat="1" ht="94.5" x14ac:dyDescent="0.2">
      <c r="A828" s="36">
        <f>IF(F828&lt;&gt;"",1+MAX($A$1:A827),"")</f>
        <v>430</v>
      </c>
      <c r="B828" s="44" t="s">
        <v>218</v>
      </c>
      <c r="C828" s="64" t="s">
        <v>219</v>
      </c>
      <c r="D828" s="75"/>
      <c r="E828" s="46" t="s">
        <v>444</v>
      </c>
      <c r="F828" s="52">
        <v>443</v>
      </c>
      <c r="G828" s="48">
        <v>0.1</v>
      </c>
      <c r="H828" s="41">
        <f t="shared" ref="H828" si="225">F828*(1+G828)</f>
        <v>487.3</v>
      </c>
      <c r="I828" s="37" t="s">
        <v>16</v>
      </c>
      <c r="J828" s="53">
        <v>0</v>
      </c>
      <c r="K828" s="42">
        <f t="shared" ref="K828" si="226">J828*H828</f>
        <v>0</v>
      </c>
      <c r="L828" s="134"/>
      <c r="M828" s="154"/>
    </row>
    <row r="829" spans="1:13" x14ac:dyDescent="0.2">
      <c r="A829" s="36" t="str">
        <f>IF(F829&lt;&gt;"",1+MAX($A$1:A828),"")</f>
        <v/>
      </c>
      <c r="B829" s="44"/>
      <c r="C829" s="44"/>
      <c r="D829" s="85"/>
      <c r="E829" s="40"/>
      <c r="F829" s="49"/>
      <c r="G829" s="87"/>
      <c r="H829" s="49"/>
      <c r="I829" s="38"/>
      <c r="J829" s="94"/>
      <c r="K829" s="95"/>
      <c r="L829" s="40"/>
      <c r="M829" s="153"/>
    </row>
    <row r="830" spans="1:13" x14ac:dyDescent="0.2">
      <c r="A830" s="36" t="str">
        <f>IF(F830&lt;&gt;"",1+MAX($A$1:A829),"")</f>
        <v/>
      </c>
      <c r="B830" s="44"/>
      <c r="C830" s="44"/>
      <c r="D830" s="85"/>
      <c r="E830" s="55" t="s">
        <v>251</v>
      </c>
      <c r="F830" s="47"/>
      <c r="G830" s="87"/>
      <c r="H830" s="49"/>
      <c r="I830" s="38"/>
      <c r="J830" s="94"/>
      <c r="K830" s="56"/>
      <c r="L830" s="56">
        <f>SUM(K827:K829)</f>
        <v>0</v>
      </c>
      <c r="M830" s="153"/>
    </row>
    <row r="831" spans="1:13" s="12" customFormat="1" ht="18.75" x14ac:dyDescent="0.2">
      <c r="A831" s="36" t="str">
        <f>IF(F831&lt;&gt;"",1+MAX($A$1:A830),"")</f>
        <v/>
      </c>
      <c r="B831" s="64"/>
      <c r="C831" s="64"/>
      <c r="D831" s="75"/>
      <c r="E831" s="46"/>
      <c r="F831" s="52"/>
      <c r="G831" s="48"/>
      <c r="H831" s="41"/>
      <c r="I831" s="37"/>
      <c r="J831" s="77"/>
      <c r="K831" s="42"/>
      <c r="L831" s="134"/>
      <c r="M831" s="154"/>
    </row>
    <row r="832" spans="1:13" x14ac:dyDescent="0.2">
      <c r="A832" s="36" t="str">
        <f>IF(F832&lt;&gt;"",1+MAX($A$1:A831),"")</f>
        <v/>
      </c>
      <c r="B832" s="44"/>
      <c r="C832" s="44"/>
      <c r="D832" s="44"/>
      <c r="E832" s="55" t="s">
        <v>252</v>
      </c>
      <c r="F832" s="47"/>
      <c r="G832" s="87"/>
      <c r="H832" s="49"/>
      <c r="I832" s="38"/>
      <c r="J832" s="79"/>
      <c r="K832" s="93"/>
      <c r="L832" s="133"/>
      <c r="M832" s="153"/>
    </row>
    <row r="833" spans="1:13" s="15" customFormat="1" ht="63" x14ac:dyDescent="0.2">
      <c r="A833" s="36">
        <f>IF(F833&lt;&gt;"",1+MAX($A$1:A832),"")</f>
        <v>431</v>
      </c>
      <c r="B833" s="44" t="s">
        <v>218</v>
      </c>
      <c r="C833" s="64" t="s">
        <v>219</v>
      </c>
      <c r="D833" s="75"/>
      <c r="E833" s="46" t="s">
        <v>445</v>
      </c>
      <c r="F833" s="52">
        <v>167</v>
      </c>
      <c r="G833" s="48">
        <v>0.1</v>
      </c>
      <c r="H833" s="41">
        <f t="shared" ref="H833" si="227">F833*(1+G833)</f>
        <v>183.70000000000002</v>
      </c>
      <c r="I833" s="37" t="s">
        <v>16</v>
      </c>
      <c r="J833" s="50">
        <v>0</v>
      </c>
      <c r="K833" s="42">
        <f t="shared" ref="K833" si="228">J833*H833</f>
        <v>0</v>
      </c>
      <c r="L833" s="134"/>
      <c r="M833" s="154"/>
    </row>
    <row r="834" spans="1:13" x14ac:dyDescent="0.2">
      <c r="A834" s="36" t="str">
        <f>IF(F834&lt;&gt;"",1+MAX($A$1:A833),"")</f>
        <v/>
      </c>
      <c r="B834" s="44"/>
      <c r="C834" s="44"/>
      <c r="D834" s="85"/>
      <c r="E834" s="40"/>
      <c r="F834" s="49"/>
      <c r="G834" s="87"/>
      <c r="H834" s="49"/>
      <c r="I834" s="38"/>
      <c r="J834" s="94"/>
      <c r="K834" s="95"/>
      <c r="L834" s="40"/>
      <c r="M834" s="153"/>
    </row>
    <row r="835" spans="1:13" x14ac:dyDescent="0.2">
      <c r="A835" s="36" t="str">
        <f>IF(F835&lt;&gt;"",1+MAX($A$1:A834),"")</f>
        <v/>
      </c>
      <c r="B835" s="44"/>
      <c r="C835" s="44"/>
      <c r="D835" s="85"/>
      <c r="E835" s="55" t="s">
        <v>253</v>
      </c>
      <c r="F835" s="47"/>
      <c r="G835" s="87"/>
      <c r="H835" s="49"/>
      <c r="I835" s="38"/>
      <c r="J835" s="94"/>
      <c r="K835" s="56"/>
      <c r="L835" s="56">
        <f>SUM(K832:K834)</f>
        <v>0</v>
      </c>
      <c r="M835" s="153"/>
    </row>
    <row r="836" spans="1:13" s="12" customFormat="1" ht="18.75" x14ac:dyDescent="0.2">
      <c r="A836" s="36" t="str">
        <f>IF(F836&lt;&gt;"",1+MAX($A$1:A835),"")</f>
        <v/>
      </c>
      <c r="B836" s="64"/>
      <c r="C836" s="64"/>
      <c r="D836" s="75"/>
      <c r="E836" s="46"/>
      <c r="F836" s="52"/>
      <c r="G836" s="48"/>
      <c r="H836" s="41"/>
      <c r="I836" s="37"/>
      <c r="J836" s="77"/>
      <c r="K836" s="42"/>
      <c r="L836" s="134"/>
      <c r="M836" s="154"/>
    </row>
    <row r="837" spans="1:13" x14ac:dyDescent="0.2">
      <c r="A837" s="36" t="str">
        <f>IF(F837&lt;&gt;"",1+MAX($A$1:A836),"")</f>
        <v/>
      </c>
      <c r="B837" s="44"/>
      <c r="C837" s="44"/>
      <c r="D837" s="44"/>
      <c r="E837" s="55" t="s">
        <v>254</v>
      </c>
      <c r="F837" s="47"/>
      <c r="G837" s="87"/>
      <c r="H837" s="49"/>
      <c r="I837" s="38"/>
      <c r="J837" s="79"/>
      <c r="K837" s="93"/>
      <c r="L837" s="133"/>
      <c r="M837" s="153"/>
    </row>
    <row r="838" spans="1:13" s="15" customFormat="1" ht="47.25" x14ac:dyDescent="0.2">
      <c r="A838" s="36">
        <f>IF(F838&lt;&gt;"",1+MAX($A$1:A837),"")</f>
        <v>432</v>
      </c>
      <c r="B838" s="44" t="s">
        <v>218</v>
      </c>
      <c r="C838" s="64" t="s">
        <v>219</v>
      </c>
      <c r="D838" s="75"/>
      <c r="E838" s="46" t="s">
        <v>446</v>
      </c>
      <c r="F838" s="52">
        <v>3611</v>
      </c>
      <c r="G838" s="48">
        <v>0.1</v>
      </c>
      <c r="H838" s="41">
        <f t="shared" ref="H838" si="229">F838*(1+G838)</f>
        <v>3972.1000000000004</v>
      </c>
      <c r="I838" s="37" t="s">
        <v>16</v>
      </c>
      <c r="J838" s="50">
        <v>0</v>
      </c>
      <c r="K838" s="42">
        <f t="shared" ref="K838" si="230">J838*H838</f>
        <v>0</v>
      </c>
      <c r="L838" s="134"/>
      <c r="M838" s="154"/>
    </row>
    <row r="839" spans="1:13" x14ac:dyDescent="0.2">
      <c r="A839" s="36" t="str">
        <f>IF(F839&lt;&gt;"",1+MAX($A$1:A838),"")</f>
        <v/>
      </c>
      <c r="B839" s="44"/>
      <c r="C839" s="44"/>
      <c r="D839" s="85"/>
      <c r="E839" s="40"/>
      <c r="F839" s="49"/>
      <c r="G839" s="87"/>
      <c r="H839" s="49"/>
      <c r="I839" s="38"/>
      <c r="J839" s="94"/>
      <c r="K839" s="95"/>
      <c r="L839" s="40"/>
      <c r="M839" s="153"/>
    </row>
    <row r="840" spans="1:13" x14ac:dyDescent="0.2">
      <c r="A840" s="36" t="str">
        <f>IF(F840&lt;&gt;"",1+MAX($A$1:A839),"")</f>
        <v/>
      </c>
      <c r="B840" s="44"/>
      <c r="C840" s="44"/>
      <c r="D840" s="85"/>
      <c r="E840" s="55" t="s">
        <v>255</v>
      </c>
      <c r="F840" s="47"/>
      <c r="G840" s="87"/>
      <c r="H840" s="49"/>
      <c r="I840" s="38"/>
      <c r="J840" s="94"/>
      <c r="K840" s="56"/>
      <c r="L840" s="56">
        <f>SUM(K837:K839)</f>
        <v>0</v>
      </c>
      <c r="M840" s="153"/>
    </row>
    <row r="841" spans="1:13" s="12" customFormat="1" ht="18.75" x14ac:dyDescent="0.2">
      <c r="A841" s="36" t="str">
        <f>IF(F841&lt;&gt;"",1+MAX($A$1:A840),"")</f>
        <v/>
      </c>
      <c r="B841" s="64"/>
      <c r="C841" s="64"/>
      <c r="D841" s="75"/>
      <c r="E841" s="46"/>
      <c r="F841" s="52"/>
      <c r="G841" s="48"/>
      <c r="H841" s="41"/>
      <c r="I841" s="37"/>
      <c r="J841" s="77"/>
      <c r="K841" s="42"/>
      <c r="L841" s="134"/>
      <c r="M841" s="154"/>
    </row>
    <row r="842" spans="1:13" x14ac:dyDescent="0.2">
      <c r="A842" s="36" t="str">
        <f>IF(F842&lt;&gt;"",1+MAX($A$1:A841),"")</f>
        <v/>
      </c>
      <c r="B842" s="44"/>
      <c r="C842" s="44"/>
      <c r="D842" s="44"/>
      <c r="E842" s="55" t="s">
        <v>221</v>
      </c>
      <c r="F842" s="47"/>
      <c r="G842" s="87"/>
      <c r="H842" s="49"/>
      <c r="I842" s="38"/>
      <c r="J842" s="79"/>
      <c r="K842" s="93"/>
      <c r="L842" s="133"/>
      <c r="M842" s="153"/>
    </row>
    <row r="843" spans="1:13" s="15" customFormat="1" ht="18.75" x14ac:dyDescent="0.2">
      <c r="A843" s="36">
        <f>IF(F843&lt;&gt;"",1+MAX($A$1:A842),"")</f>
        <v>433</v>
      </c>
      <c r="B843" s="44" t="s">
        <v>218</v>
      </c>
      <c r="C843" s="64" t="s">
        <v>219</v>
      </c>
      <c r="D843" s="75"/>
      <c r="E843" s="46" t="s">
        <v>222</v>
      </c>
      <c r="F843" s="52">
        <v>92</v>
      </c>
      <c r="G843" s="48">
        <v>0.1</v>
      </c>
      <c r="H843" s="41">
        <f t="shared" ref="H843" si="231">F843*(1+G843)</f>
        <v>101.2</v>
      </c>
      <c r="I843" s="37" t="s">
        <v>16</v>
      </c>
      <c r="J843" s="53">
        <v>0</v>
      </c>
      <c r="K843" s="42">
        <f>J843*H843</f>
        <v>0</v>
      </c>
      <c r="L843" s="134"/>
      <c r="M843" s="154"/>
    </row>
    <row r="844" spans="1:13" x14ac:dyDescent="0.2">
      <c r="A844" s="36" t="str">
        <f>IF(F844&lt;&gt;"",1+MAX($A$1:A843),"")</f>
        <v/>
      </c>
      <c r="B844" s="44"/>
      <c r="C844" s="44"/>
      <c r="D844" s="85"/>
      <c r="E844" s="40"/>
      <c r="F844" s="49"/>
      <c r="G844" s="87"/>
      <c r="H844" s="49"/>
      <c r="I844" s="38"/>
      <c r="J844" s="94"/>
      <c r="K844" s="95"/>
      <c r="L844" s="40"/>
      <c r="M844" s="153"/>
    </row>
    <row r="845" spans="1:13" x14ac:dyDescent="0.2">
      <c r="A845" s="36" t="str">
        <f>IF(F845&lt;&gt;"",1+MAX($A$1:A844),"")</f>
        <v/>
      </c>
      <c r="B845" s="44"/>
      <c r="C845" s="44"/>
      <c r="D845" s="85"/>
      <c r="E845" s="55" t="s">
        <v>223</v>
      </c>
      <c r="F845" s="47"/>
      <c r="G845" s="87"/>
      <c r="H845" s="49"/>
      <c r="I845" s="38"/>
      <c r="J845" s="94"/>
      <c r="K845" s="56"/>
      <c r="L845" s="56">
        <f>SUM(K842:K844)</f>
        <v>0</v>
      </c>
      <c r="M845" s="153"/>
    </row>
    <row r="846" spans="1:13" s="12" customFormat="1" ht="18.75" x14ac:dyDescent="0.2">
      <c r="A846" s="36" t="str">
        <f>IF(F846&lt;&gt;"",1+MAX($A$1:A845),"")</f>
        <v/>
      </c>
      <c r="B846" s="64"/>
      <c r="C846" s="64"/>
      <c r="D846" s="75"/>
      <c r="E846" s="46"/>
      <c r="F846" s="52"/>
      <c r="G846" s="48"/>
      <c r="H846" s="41"/>
      <c r="I846" s="37"/>
      <c r="J846" s="77"/>
      <c r="K846" s="42"/>
      <c r="L846" s="134"/>
      <c r="M846" s="154"/>
    </row>
    <row r="847" spans="1:13" x14ac:dyDescent="0.2">
      <c r="A847" s="36" t="str">
        <f>IF(F847&lt;&gt;"",1+MAX($A$1:A846),"")</f>
        <v/>
      </c>
      <c r="B847" s="44"/>
      <c r="C847" s="44"/>
      <c r="D847" s="44"/>
      <c r="E847" s="55" t="s">
        <v>377</v>
      </c>
      <c r="F847" s="47"/>
      <c r="G847" s="87"/>
      <c r="H847" s="49"/>
      <c r="I847" s="38"/>
      <c r="J847" s="79"/>
      <c r="K847" s="93"/>
      <c r="L847" s="133"/>
      <c r="M847" s="153"/>
    </row>
    <row r="848" spans="1:13" s="15" customFormat="1" ht="18.75" x14ac:dyDescent="0.2">
      <c r="A848" s="36">
        <f>IF(F848&lt;&gt;"",1+MAX($A$1:A847),"")</f>
        <v>434</v>
      </c>
      <c r="B848" s="44" t="s">
        <v>218</v>
      </c>
      <c r="C848" s="64" t="s">
        <v>219</v>
      </c>
      <c r="D848" s="75"/>
      <c r="E848" s="46" t="s">
        <v>378</v>
      </c>
      <c r="F848" s="52">
        <v>9088</v>
      </c>
      <c r="G848" s="48">
        <v>0.1</v>
      </c>
      <c r="H848" s="41">
        <f t="shared" ref="H848" si="232">F848*(1+G848)</f>
        <v>9996.8000000000011</v>
      </c>
      <c r="I848" s="37" t="s">
        <v>16</v>
      </c>
      <c r="J848" s="53">
        <v>0</v>
      </c>
      <c r="K848" s="42">
        <f>J848*H848</f>
        <v>0</v>
      </c>
      <c r="L848" s="134"/>
      <c r="M848" s="154"/>
    </row>
    <row r="849" spans="1:13" x14ac:dyDescent="0.2">
      <c r="A849" s="36" t="str">
        <f>IF(F849&lt;&gt;"",1+MAX($A$1:A848),"")</f>
        <v/>
      </c>
      <c r="B849" s="44"/>
      <c r="C849" s="44"/>
      <c r="D849" s="85"/>
      <c r="E849" s="40"/>
      <c r="F849" s="49"/>
      <c r="G849" s="87"/>
      <c r="H849" s="49"/>
      <c r="I849" s="38"/>
      <c r="J849" s="94"/>
      <c r="K849" s="95"/>
      <c r="L849" s="40"/>
      <c r="M849" s="153"/>
    </row>
    <row r="850" spans="1:13" x14ac:dyDescent="0.2">
      <c r="A850" s="36" t="str">
        <f>IF(F850&lt;&gt;"",1+MAX($A$1:A849),"")</f>
        <v/>
      </c>
      <c r="B850" s="44"/>
      <c r="C850" s="44"/>
      <c r="D850" s="85"/>
      <c r="E850" s="55" t="s">
        <v>379</v>
      </c>
      <c r="F850" s="47"/>
      <c r="G850" s="87"/>
      <c r="H850" s="49"/>
      <c r="I850" s="38"/>
      <c r="J850" s="94"/>
      <c r="K850" s="56"/>
      <c r="L850" s="56">
        <f>SUM(K847:K849)</f>
        <v>0</v>
      </c>
      <c r="M850" s="153"/>
    </row>
    <row r="851" spans="1:13" s="12" customFormat="1" ht="18.75" x14ac:dyDescent="0.2">
      <c r="A851" s="36" t="str">
        <f>IF(F851&lt;&gt;"",1+MAX($A$1:A850),"")</f>
        <v/>
      </c>
      <c r="B851" s="64"/>
      <c r="C851" s="64"/>
      <c r="D851" s="75"/>
      <c r="E851" s="46"/>
      <c r="F851" s="52"/>
      <c r="G851" s="48"/>
      <c r="H851" s="41"/>
      <c r="I851" s="37"/>
      <c r="J851" s="77"/>
      <c r="K851" s="42"/>
      <c r="L851" s="134"/>
      <c r="M851" s="154"/>
    </row>
    <row r="852" spans="1:13" x14ac:dyDescent="0.2">
      <c r="A852" s="36" t="str">
        <f>IF(F852&lt;&gt;"",1+MAX($A$1:A851),"")</f>
        <v/>
      </c>
      <c r="B852" s="44"/>
      <c r="C852" s="44"/>
      <c r="D852" s="44"/>
      <c r="E852" s="55" t="s">
        <v>224</v>
      </c>
      <c r="F852" s="47"/>
      <c r="G852" s="87"/>
      <c r="H852" s="49"/>
      <c r="I852" s="38"/>
      <c r="J852" s="79"/>
      <c r="K852" s="93"/>
      <c r="L852" s="133"/>
      <c r="M852" s="153"/>
    </row>
    <row r="853" spans="1:13" s="15" customFormat="1" ht="63" x14ac:dyDescent="0.2">
      <c r="A853" s="36">
        <f>IF(F853&lt;&gt;"",1+MAX($A$1:A852),"")</f>
        <v>435</v>
      </c>
      <c r="B853" s="44" t="s">
        <v>218</v>
      </c>
      <c r="C853" s="64" t="s">
        <v>219</v>
      </c>
      <c r="D853" s="75"/>
      <c r="E853" s="46" t="s">
        <v>447</v>
      </c>
      <c r="F853" s="52">
        <v>2155</v>
      </c>
      <c r="G853" s="48">
        <v>0.1</v>
      </c>
      <c r="H853" s="41">
        <f t="shared" ref="H853" si="233">F853*(1+G853)</f>
        <v>2370.5</v>
      </c>
      <c r="I853" s="37" t="s">
        <v>13</v>
      </c>
      <c r="J853" s="53">
        <v>0</v>
      </c>
      <c r="K853" s="42">
        <f>J853*H853</f>
        <v>0</v>
      </c>
      <c r="L853" s="134"/>
      <c r="M853" s="154"/>
    </row>
    <row r="854" spans="1:13" x14ac:dyDescent="0.2">
      <c r="A854" s="36" t="str">
        <f>IF(F854&lt;&gt;"",1+MAX($A$1:A853),"")</f>
        <v/>
      </c>
      <c r="B854" s="44"/>
      <c r="C854" s="44"/>
      <c r="D854" s="85"/>
      <c r="E854" s="40"/>
      <c r="F854" s="49"/>
      <c r="G854" s="87"/>
      <c r="H854" s="49"/>
      <c r="I854" s="38"/>
      <c r="J854" s="94"/>
      <c r="K854" s="95"/>
      <c r="L854" s="40"/>
      <c r="M854" s="153"/>
    </row>
    <row r="855" spans="1:13" x14ac:dyDescent="0.2">
      <c r="A855" s="36" t="str">
        <f>IF(F855&lt;&gt;"",1+MAX($A$1:A854),"")</f>
        <v/>
      </c>
      <c r="B855" s="44"/>
      <c r="C855" s="44"/>
      <c r="D855" s="85"/>
      <c r="E855" s="55" t="s">
        <v>225</v>
      </c>
      <c r="F855" s="47"/>
      <c r="G855" s="87"/>
      <c r="H855" s="49"/>
      <c r="I855" s="38"/>
      <c r="J855" s="94"/>
      <c r="K855" s="56"/>
      <c r="L855" s="56">
        <f>SUM(K852:K854)</f>
        <v>0</v>
      </c>
      <c r="M855" s="153"/>
    </row>
    <row r="856" spans="1:13" s="12" customFormat="1" ht="18.75" x14ac:dyDescent="0.2">
      <c r="A856" s="36" t="str">
        <f>IF(F856&lt;&gt;"",1+MAX($A$1:A855),"")</f>
        <v/>
      </c>
      <c r="B856" s="64"/>
      <c r="C856" s="64"/>
      <c r="D856" s="75"/>
      <c r="E856" s="46"/>
      <c r="F856" s="52"/>
      <c r="G856" s="48"/>
      <c r="H856" s="41"/>
      <c r="I856" s="37"/>
      <c r="J856" s="77"/>
      <c r="K856" s="42"/>
      <c r="L856" s="134"/>
      <c r="M856" s="154"/>
    </row>
    <row r="857" spans="1:13" x14ac:dyDescent="0.2">
      <c r="A857" s="36" t="str">
        <f>IF(F857&lt;&gt;"",1+MAX($A$1:A856),"")</f>
        <v/>
      </c>
      <c r="B857" s="44"/>
      <c r="C857" s="44"/>
      <c r="D857" s="44"/>
      <c r="E857" s="55" t="s">
        <v>226</v>
      </c>
      <c r="F857" s="47"/>
      <c r="G857" s="87"/>
      <c r="H857" s="49"/>
      <c r="I857" s="38"/>
      <c r="J857" s="79"/>
      <c r="K857" s="93"/>
      <c r="L857" s="133"/>
      <c r="M857" s="153"/>
    </row>
    <row r="858" spans="1:13" s="15" customFormat="1" ht="18.75" x14ac:dyDescent="0.2">
      <c r="A858" s="36">
        <f>IF(F858&lt;&gt;"",1+MAX($A$1:A857),"")</f>
        <v>436</v>
      </c>
      <c r="B858" s="44" t="s">
        <v>159</v>
      </c>
      <c r="C858" s="64" t="s">
        <v>227</v>
      </c>
      <c r="D858" s="75"/>
      <c r="E858" s="46" t="s">
        <v>228</v>
      </c>
      <c r="F858" s="52">
        <v>25</v>
      </c>
      <c r="G858" s="48">
        <v>0.1</v>
      </c>
      <c r="H858" s="41">
        <f t="shared" ref="H858:H860" si="234">F858*(1+G858)</f>
        <v>27.500000000000004</v>
      </c>
      <c r="I858" s="37" t="s">
        <v>13</v>
      </c>
      <c r="J858" s="53">
        <v>0</v>
      </c>
      <c r="K858" s="42">
        <f>J858*H858</f>
        <v>0</v>
      </c>
      <c r="L858" s="134"/>
      <c r="M858" s="154"/>
    </row>
    <row r="859" spans="1:13" s="15" customFormat="1" ht="18.75" x14ac:dyDescent="0.2">
      <c r="A859" s="36">
        <f>IF(F859&lt;&gt;"",1+MAX($A$1:A858),"")</f>
        <v>437</v>
      </c>
      <c r="B859" s="44" t="s">
        <v>159</v>
      </c>
      <c r="C859" s="64" t="s">
        <v>227</v>
      </c>
      <c r="D859" s="75"/>
      <c r="E859" s="46" t="s">
        <v>229</v>
      </c>
      <c r="F859" s="52">
        <f>84.4+24.9</f>
        <v>109.30000000000001</v>
      </c>
      <c r="G859" s="48">
        <v>0.1</v>
      </c>
      <c r="H859" s="41">
        <f t="shared" si="234"/>
        <v>120.23000000000002</v>
      </c>
      <c r="I859" s="37" t="s">
        <v>13</v>
      </c>
      <c r="J859" s="53">
        <v>0</v>
      </c>
      <c r="K859" s="42">
        <f>J859*H859</f>
        <v>0</v>
      </c>
      <c r="L859" s="134"/>
      <c r="M859" s="154"/>
    </row>
    <row r="860" spans="1:13" s="15" customFormat="1" ht="18.75" x14ac:dyDescent="0.2">
      <c r="A860" s="36">
        <f>IF(F860&lt;&gt;"",1+MAX($A$1:A859),"")</f>
        <v>438</v>
      </c>
      <c r="B860" s="44" t="s">
        <v>159</v>
      </c>
      <c r="C860" s="64" t="s">
        <v>227</v>
      </c>
      <c r="D860" s="75"/>
      <c r="E860" s="46" t="s">
        <v>230</v>
      </c>
      <c r="F860" s="52">
        <f>8.6+3.1+6.2+6.5</f>
        <v>24.4</v>
      </c>
      <c r="G860" s="48">
        <v>0.1</v>
      </c>
      <c r="H860" s="41">
        <f t="shared" si="234"/>
        <v>26.84</v>
      </c>
      <c r="I860" s="37" t="s">
        <v>13</v>
      </c>
      <c r="J860" s="53">
        <v>0</v>
      </c>
      <c r="K860" s="42">
        <f>J860*H860</f>
        <v>0</v>
      </c>
      <c r="L860" s="134"/>
      <c r="M860" s="154"/>
    </row>
    <row r="861" spans="1:13" x14ac:dyDescent="0.2">
      <c r="A861" s="36" t="str">
        <f>IF(F861&lt;&gt;"",1+MAX($A$1:A860),"")</f>
        <v/>
      </c>
      <c r="B861" s="44"/>
      <c r="C861" s="44"/>
      <c r="D861" s="85"/>
      <c r="E861" s="40"/>
      <c r="F861" s="49"/>
      <c r="G861" s="87"/>
      <c r="H861" s="49"/>
      <c r="I861" s="38"/>
      <c r="J861" s="94"/>
      <c r="K861" s="95"/>
      <c r="L861" s="40"/>
      <c r="M861" s="153"/>
    </row>
    <row r="862" spans="1:13" x14ac:dyDescent="0.2">
      <c r="A862" s="36" t="str">
        <f>IF(F862&lt;&gt;"",1+MAX($A$1:A861),"")</f>
        <v/>
      </c>
      <c r="B862" s="44"/>
      <c r="C862" s="44"/>
      <c r="D862" s="85"/>
      <c r="E862" s="55" t="s">
        <v>231</v>
      </c>
      <c r="F862" s="47"/>
      <c r="G862" s="87"/>
      <c r="H862" s="49"/>
      <c r="I862" s="38"/>
      <c r="J862" s="94"/>
      <c r="K862" s="56"/>
      <c r="L862" s="56">
        <f>SUM(K857:K861)</f>
        <v>0</v>
      </c>
      <c r="M862" s="153"/>
    </row>
    <row r="863" spans="1:13" s="12" customFormat="1" ht="18.75" x14ac:dyDescent="0.2">
      <c r="A863" s="36" t="str">
        <f>IF(F863&lt;&gt;"",1+MAX($A$1:A862),"")</f>
        <v/>
      </c>
      <c r="B863" s="64"/>
      <c r="C863" s="64"/>
      <c r="D863" s="75"/>
      <c r="E863" s="46"/>
      <c r="F863" s="52"/>
      <c r="G863" s="48"/>
      <c r="H863" s="41"/>
      <c r="I863" s="37"/>
      <c r="J863" s="77"/>
      <c r="K863" s="42"/>
      <c r="L863" s="134"/>
      <c r="M863" s="154"/>
    </row>
    <row r="864" spans="1:13" x14ac:dyDescent="0.2">
      <c r="A864" s="36" t="str">
        <f>IF(F864&lt;&gt;"",1+MAX($A$1:A863),"")</f>
        <v/>
      </c>
      <c r="B864" s="44"/>
      <c r="C864" s="44"/>
      <c r="D864" s="44"/>
      <c r="E864" s="55" t="s">
        <v>232</v>
      </c>
      <c r="F864" s="47"/>
      <c r="G864" s="87"/>
      <c r="H864" s="49"/>
      <c r="I864" s="38"/>
      <c r="J864" s="79"/>
      <c r="K864" s="93"/>
      <c r="L864" s="133"/>
      <c r="M864" s="153"/>
    </row>
    <row r="865" spans="1:13" x14ac:dyDescent="0.2">
      <c r="A865" s="36" t="str">
        <f>IF(F865&lt;&gt;"",1+MAX($A$1:A864),"")</f>
        <v/>
      </c>
      <c r="B865" s="44"/>
      <c r="C865" s="44"/>
      <c r="D865" s="85"/>
      <c r="E865" s="88" t="s">
        <v>233</v>
      </c>
      <c r="F865" s="47"/>
      <c r="G865" s="87"/>
      <c r="H865" s="49"/>
      <c r="I865" s="38"/>
      <c r="J865" s="94"/>
      <c r="K865" s="42"/>
      <c r="L865" s="40"/>
      <c r="M865" s="153"/>
    </row>
    <row r="866" spans="1:13" s="15" customFormat="1" ht="78.75" x14ac:dyDescent="0.2">
      <c r="A866" s="36">
        <f>IF(F866&lt;&gt;"",1+MAX($A$1:A865),"")</f>
        <v>439</v>
      </c>
      <c r="B866" s="44" t="s">
        <v>159</v>
      </c>
      <c r="C866" s="64" t="s">
        <v>162</v>
      </c>
      <c r="D866" s="75"/>
      <c r="E866" s="46" t="s">
        <v>448</v>
      </c>
      <c r="F866" s="52">
        <v>5436</v>
      </c>
      <c r="G866" s="48">
        <v>0.1</v>
      </c>
      <c r="H866" s="41">
        <f t="shared" ref="H866:H867" si="235">F866*(1+G866)</f>
        <v>5979.6</v>
      </c>
      <c r="I866" s="37" t="s">
        <v>16</v>
      </c>
      <c r="J866" s="50">
        <v>0</v>
      </c>
      <c r="K866" s="42">
        <f t="shared" ref="K866:K867" si="236">J866*H866</f>
        <v>0</v>
      </c>
      <c r="L866" s="134"/>
      <c r="M866" s="154"/>
    </row>
    <row r="867" spans="1:13" s="15" customFormat="1" ht="78.75" x14ac:dyDescent="0.2">
      <c r="A867" s="36">
        <f>IF(F867&lt;&gt;"",1+MAX($A$1:A866),"")</f>
        <v>440</v>
      </c>
      <c r="B867" s="44" t="s">
        <v>159</v>
      </c>
      <c r="C867" s="64" t="s">
        <v>162</v>
      </c>
      <c r="D867" s="75"/>
      <c r="E867" s="46" t="s">
        <v>449</v>
      </c>
      <c r="F867" s="52">
        <v>2395</v>
      </c>
      <c r="G867" s="48">
        <v>0.1</v>
      </c>
      <c r="H867" s="41">
        <f t="shared" si="235"/>
        <v>2634.5</v>
      </c>
      <c r="I867" s="37" t="s">
        <v>16</v>
      </c>
      <c r="J867" s="50">
        <v>0</v>
      </c>
      <c r="K867" s="42">
        <f t="shared" si="236"/>
        <v>0</v>
      </c>
      <c r="L867" s="134"/>
      <c r="M867" s="154"/>
    </row>
    <row r="868" spans="1:13" x14ac:dyDescent="0.2">
      <c r="A868" s="36" t="str">
        <f>IF(F868&lt;&gt;"",1+MAX($A$1:A867),"")</f>
        <v/>
      </c>
      <c r="B868" s="44"/>
      <c r="C868" s="44"/>
      <c r="D868" s="85"/>
      <c r="E868" s="88" t="s">
        <v>234</v>
      </c>
      <c r="F868" s="47"/>
      <c r="G868" s="87"/>
      <c r="H868" s="49"/>
      <c r="I868" s="38"/>
      <c r="J868" s="94"/>
      <c r="K868" s="42"/>
      <c r="L868" s="40"/>
      <c r="M868" s="153"/>
    </row>
    <row r="869" spans="1:13" s="15" customFormat="1" ht="63" x14ac:dyDescent="0.2">
      <c r="A869" s="36">
        <f>IF(F869&lt;&gt;"",1+MAX($A$1:A868),"")</f>
        <v>441</v>
      </c>
      <c r="B869" s="44" t="s">
        <v>159</v>
      </c>
      <c r="C869" s="64" t="s">
        <v>162</v>
      </c>
      <c r="D869" s="75"/>
      <c r="E869" s="46" t="s">
        <v>450</v>
      </c>
      <c r="F869" s="52">
        <v>72</v>
      </c>
      <c r="G869" s="48">
        <v>0.1</v>
      </c>
      <c r="H869" s="41">
        <f t="shared" ref="H869:H870" si="237">F869*(1+G869)</f>
        <v>79.2</v>
      </c>
      <c r="I869" s="37" t="s">
        <v>16</v>
      </c>
      <c r="J869" s="50">
        <v>0</v>
      </c>
      <c r="K869" s="42">
        <f t="shared" ref="K869:K870" si="238">J869*H869</f>
        <v>0</v>
      </c>
      <c r="L869" s="134"/>
      <c r="M869" s="154"/>
    </row>
    <row r="870" spans="1:13" s="15" customFormat="1" ht="78.75" x14ac:dyDescent="0.2">
      <c r="A870" s="36">
        <f>IF(F870&lt;&gt;"",1+MAX($A$1:A869),"")</f>
        <v>442</v>
      </c>
      <c r="B870" s="44" t="s">
        <v>159</v>
      </c>
      <c r="C870" s="64" t="s">
        <v>162</v>
      </c>
      <c r="D870" s="75"/>
      <c r="E870" s="46" t="s">
        <v>451</v>
      </c>
      <c r="F870" s="52">
        <v>468</v>
      </c>
      <c r="G870" s="48">
        <v>0.1</v>
      </c>
      <c r="H870" s="41">
        <f t="shared" si="237"/>
        <v>514.80000000000007</v>
      </c>
      <c r="I870" s="37" t="s">
        <v>16</v>
      </c>
      <c r="J870" s="50">
        <v>0</v>
      </c>
      <c r="K870" s="42">
        <f t="shared" si="238"/>
        <v>0</v>
      </c>
      <c r="L870" s="134"/>
      <c r="M870" s="154"/>
    </row>
    <row r="871" spans="1:13" x14ac:dyDescent="0.2">
      <c r="A871" s="36" t="str">
        <f>IF(F871&lt;&gt;"",1+MAX($A$1:A870),"")</f>
        <v/>
      </c>
      <c r="B871" s="44"/>
      <c r="C871" s="44"/>
      <c r="D871" s="85"/>
      <c r="E871" s="88" t="s">
        <v>235</v>
      </c>
      <c r="F871" s="47"/>
      <c r="G871" s="87"/>
      <c r="H871" s="49"/>
      <c r="I871" s="38"/>
      <c r="J871" s="94"/>
      <c r="K871" s="42"/>
      <c r="L871" s="40"/>
      <c r="M871" s="153"/>
    </row>
    <row r="872" spans="1:13" s="15" customFormat="1" ht="18.75" x14ac:dyDescent="0.2">
      <c r="A872" s="36">
        <f>IF(F872&lt;&gt;"",1+MAX($A$1:A871),"")</f>
        <v>443</v>
      </c>
      <c r="B872" s="64" t="s">
        <v>159</v>
      </c>
      <c r="C872" s="64" t="s">
        <v>166</v>
      </c>
      <c r="D872" s="75"/>
      <c r="E872" s="46" t="s">
        <v>236</v>
      </c>
      <c r="F872" s="52">
        <f>261*2</f>
        <v>522</v>
      </c>
      <c r="G872" s="48">
        <v>0.1</v>
      </c>
      <c r="H872" s="41">
        <f t="shared" ref="H872:H873" si="239">F872*(1+G872)</f>
        <v>574.20000000000005</v>
      </c>
      <c r="I872" s="37" t="s">
        <v>13</v>
      </c>
      <c r="J872" s="53">
        <v>0</v>
      </c>
      <c r="K872" s="42">
        <f t="shared" ref="K872:K873" si="240">J872*H872</f>
        <v>0</v>
      </c>
      <c r="L872" s="134"/>
      <c r="M872" s="154"/>
    </row>
    <row r="873" spans="1:13" s="15" customFormat="1" ht="18.75" x14ac:dyDescent="0.2">
      <c r="A873" s="36">
        <f>IF(F873&lt;&gt;"",1+MAX($A$1:A872),"")</f>
        <v>444</v>
      </c>
      <c r="B873" s="64" t="s">
        <v>159</v>
      </c>
      <c r="C873" s="72" t="s">
        <v>237</v>
      </c>
      <c r="D873" s="103"/>
      <c r="E873" s="46" t="s">
        <v>238</v>
      </c>
      <c r="F873" s="52">
        <v>209</v>
      </c>
      <c r="G873" s="48">
        <v>0.1</v>
      </c>
      <c r="H873" s="41">
        <f t="shared" si="239"/>
        <v>229.9</v>
      </c>
      <c r="I873" s="37" t="s">
        <v>13</v>
      </c>
      <c r="J873" s="53">
        <v>0</v>
      </c>
      <c r="K873" s="42">
        <f t="shared" si="240"/>
        <v>0</v>
      </c>
      <c r="L873" s="134"/>
      <c r="M873" s="154"/>
    </row>
    <row r="874" spans="1:13" x14ac:dyDescent="0.2">
      <c r="A874" s="36" t="str">
        <f>IF(F874&lt;&gt;"",1+MAX($A$1:A873),"")</f>
        <v/>
      </c>
      <c r="B874" s="44"/>
      <c r="C874" s="44"/>
      <c r="D874" s="85"/>
      <c r="E874" s="88" t="s">
        <v>239</v>
      </c>
      <c r="F874" s="47"/>
      <c r="G874" s="87"/>
      <c r="H874" s="49"/>
      <c r="I874" s="38"/>
      <c r="J874" s="94"/>
      <c r="K874" s="42"/>
      <c r="L874" s="40"/>
      <c r="M874" s="153"/>
    </row>
    <row r="875" spans="1:13" s="15" customFormat="1" ht="18.75" x14ac:dyDescent="0.2">
      <c r="A875" s="36">
        <f>IF(F875&lt;&gt;"",1+MAX($A$1:A874),"")</f>
        <v>445</v>
      </c>
      <c r="B875" s="44" t="s">
        <v>159</v>
      </c>
      <c r="C875" s="64"/>
      <c r="D875" s="75"/>
      <c r="E875" s="46" t="s">
        <v>240</v>
      </c>
      <c r="F875" s="52">
        <v>54</v>
      </c>
      <c r="G875" s="48">
        <v>0.1</v>
      </c>
      <c r="H875" s="41">
        <f t="shared" ref="H875" si="241">F875*(1+G875)</f>
        <v>59.400000000000006</v>
      </c>
      <c r="I875" s="37" t="s">
        <v>13</v>
      </c>
      <c r="J875" s="53">
        <v>0</v>
      </c>
      <c r="K875" s="42">
        <f t="shared" ref="K875" si="242">J875*H875</f>
        <v>0</v>
      </c>
      <c r="L875" s="134"/>
      <c r="M875" s="154"/>
    </row>
    <row r="876" spans="1:13" x14ac:dyDescent="0.2">
      <c r="A876" s="36" t="str">
        <f>IF(F876&lt;&gt;"",1+MAX($A$1:A875),"")</f>
        <v/>
      </c>
      <c r="B876" s="44"/>
      <c r="C876" s="44"/>
      <c r="D876" s="85"/>
      <c r="E876" s="88" t="s">
        <v>243</v>
      </c>
      <c r="F876" s="47"/>
      <c r="G876" s="87"/>
      <c r="H876" s="49"/>
      <c r="I876" s="38"/>
      <c r="J876" s="94"/>
      <c r="K876" s="42"/>
      <c r="L876" s="40"/>
      <c r="M876" s="153"/>
    </row>
    <row r="877" spans="1:13" s="15" customFormat="1" ht="31.5" x14ac:dyDescent="0.2">
      <c r="A877" s="36">
        <f>IF(F877&lt;&gt;"",1+MAX($A$1:A876),"")</f>
        <v>446</v>
      </c>
      <c r="B877" s="64" t="s">
        <v>159</v>
      </c>
      <c r="C877" s="64" t="s">
        <v>166</v>
      </c>
      <c r="D877" s="75"/>
      <c r="E877" s="46" t="s">
        <v>167</v>
      </c>
      <c r="F877" s="52">
        <v>261</v>
      </c>
      <c r="G877" s="48">
        <v>0.1</v>
      </c>
      <c r="H877" s="41">
        <f t="shared" ref="H877:H878" si="243">F877*(1+G877)</f>
        <v>287.10000000000002</v>
      </c>
      <c r="I877" s="37" t="s">
        <v>13</v>
      </c>
      <c r="J877" s="53">
        <v>0</v>
      </c>
      <c r="K877" s="42">
        <f t="shared" ref="K877:K878" si="244">J877*H877</f>
        <v>0</v>
      </c>
      <c r="L877" s="134"/>
      <c r="M877" s="154"/>
    </row>
    <row r="878" spans="1:13" s="15" customFormat="1" ht="18.75" x14ac:dyDescent="0.2">
      <c r="A878" s="36">
        <f>IF(F878&lt;&gt;"",1+MAX($A$1:A877),"")</f>
        <v>447</v>
      </c>
      <c r="B878" s="64" t="s">
        <v>159</v>
      </c>
      <c r="C878" s="64" t="s">
        <v>168</v>
      </c>
      <c r="D878" s="75"/>
      <c r="E878" s="46" t="s">
        <v>169</v>
      </c>
      <c r="F878" s="52">
        <v>14</v>
      </c>
      <c r="G878" s="48">
        <v>0.1</v>
      </c>
      <c r="H878" s="41">
        <f t="shared" si="243"/>
        <v>15.400000000000002</v>
      </c>
      <c r="I878" s="37" t="s">
        <v>13</v>
      </c>
      <c r="J878" s="53">
        <v>0</v>
      </c>
      <c r="K878" s="42">
        <f t="shared" si="244"/>
        <v>0</v>
      </c>
      <c r="L878" s="134"/>
      <c r="M878" s="154"/>
    </row>
    <row r="879" spans="1:13" x14ac:dyDescent="0.2">
      <c r="A879" s="36" t="str">
        <f>IF(F879&lt;&gt;"",1+MAX($A$1:A878),"")</f>
        <v/>
      </c>
      <c r="B879" s="44"/>
      <c r="C879" s="44"/>
      <c r="D879" s="85"/>
      <c r="E879" s="40"/>
      <c r="F879" s="49"/>
      <c r="G879" s="87"/>
      <c r="H879" s="49"/>
      <c r="I879" s="38"/>
      <c r="J879" s="94"/>
      <c r="K879" s="95"/>
      <c r="L879" s="40"/>
      <c r="M879" s="153"/>
    </row>
    <row r="880" spans="1:13" x14ac:dyDescent="0.2">
      <c r="A880" s="36" t="str">
        <f>IF(F880&lt;&gt;"",1+MAX($A$1:A879),"")</f>
        <v/>
      </c>
      <c r="B880" s="44"/>
      <c r="C880" s="44"/>
      <c r="D880" s="85"/>
      <c r="E880" s="55" t="s">
        <v>242</v>
      </c>
      <c r="F880" s="47"/>
      <c r="G880" s="87"/>
      <c r="H880" s="49"/>
      <c r="I880" s="38"/>
      <c r="J880" s="94"/>
      <c r="K880" s="56"/>
      <c r="L880" s="56">
        <f>SUM(K864:K879)</f>
        <v>0</v>
      </c>
      <c r="M880" s="153"/>
    </row>
    <row r="881" spans="1:13" s="12" customFormat="1" ht="18.75" x14ac:dyDescent="0.2">
      <c r="A881" s="36" t="str">
        <f>IF(F881&lt;&gt;"",1+MAX($A$1:A880),"")</f>
        <v/>
      </c>
      <c r="B881" s="64"/>
      <c r="C881" s="64"/>
      <c r="D881" s="75"/>
      <c r="E881" s="46"/>
      <c r="F881" s="52"/>
      <c r="G881" s="48"/>
      <c r="H881" s="41"/>
      <c r="I881" s="37"/>
      <c r="J881" s="77"/>
      <c r="K881" s="42"/>
      <c r="L881" s="134"/>
      <c r="M881" s="154"/>
    </row>
    <row r="882" spans="1:13" x14ac:dyDescent="0.2">
      <c r="A882" s="36" t="str">
        <f>IF(F882&lt;&gt;"",1+MAX($A$1:A881),"")</f>
        <v/>
      </c>
      <c r="B882" s="44"/>
      <c r="C882" s="44"/>
      <c r="D882" s="44"/>
      <c r="E882" s="55" t="s">
        <v>366</v>
      </c>
      <c r="F882" s="47"/>
      <c r="G882" s="87"/>
      <c r="H882" s="49"/>
      <c r="I882" s="38"/>
      <c r="J882" s="79"/>
      <c r="K882" s="93"/>
      <c r="L882" s="133"/>
      <c r="M882" s="153"/>
    </row>
    <row r="883" spans="1:13" s="15" customFormat="1" ht="78.75" x14ac:dyDescent="0.2">
      <c r="A883" s="36">
        <f>IF(F883&lt;&gt;"",1+MAX($A$1:A882),"")</f>
        <v>448</v>
      </c>
      <c r="B883" s="38" t="s">
        <v>367</v>
      </c>
      <c r="C883" s="44" t="s">
        <v>368</v>
      </c>
      <c r="D883" s="44"/>
      <c r="E883" s="55" t="s">
        <v>452</v>
      </c>
      <c r="F883" s="47">
        <f>14.167*10</f>
        <v>141.66999999999999</v>
      </c>
      <c r="G883" s="48">
        <v>0.1</v>
      </c>
      <c r="H883" s="49">
        <f t="shared" ref="H883" si="245">F883*(1+G883)</f>
        <v>155.83699999999999</v>
      </c>
      <c r="I883" s="38" t="s">
        <v>16</v>
      </c>
      <c r="J883" s="50">
        <v>0</v>
      </c>
      <c r="K883" s="51">
        <f t="shared" ref="K883" si="246">J883*H883</f>
        <v>0</v>
      </c>
      <c r="L883" s="134"/>
      <c r="M883" s="154"/>
    </row>
    <row r="884" spans="1:13" x14ac:dyDescent="0.2">
      <c r="A884" s="36" t="str">
        <f>IF(F884&lt;&gt;"",1+MAX($A$1:A883),"")</f>
        <v/>
      </c>
      <c r="B884" s="38"/>
      <c r="C884" s="44"/>
      <c r="D884" s="44"/>
      <c r="E884" s="40"/>
      <c r="F884" s="41"/>
      <c r="G884" s="54"/>
      <c r="H884" s="41"/>
      <c r="I884" s="37"/>
      <c r="J884" s="51"/>
      <c r="K884" s="51"/>
      <c r="L884" s="40"/>
      <c r="M884" s="153"/>
    </row>
    <row r="885" spans="1:13" x14ac:dyDescent="0.2">
      <c r="A885" s="36" t="str">
        <f>IF(F885&lt;&gt;"",1+MAX($A$1:A884),"")</f>
        <v/>
      </c>
      <c r="B885" s="38"/>
      <c r="C885" s="44"/>
      <c r="D885" s="44"/>
      <c r="E885" s="55" t="s">
        <v>369</v>
      </c>
      <c r="F885" s="52"/>
      <c r="G885" s="54"/>
      <c r="H885" s="41"/>
      <c r="I885" s="37"/>
      <c r="J885" s="51"/>
      <c r="K885" s="56"/>
      <c r="L885" s="56">
        <f>SUM(K882:K884)</f>
        <v>0</v>
      </c>
      <c r="M885" s="153"/>
    </row>
    <row r="886" spans="1:13" s="12" customFormat="1" ht="18.75" x14ac:dyDescent="0.2">
      <c r="A886" s="36" t="str">
        <f>IF(F886&lt;&gt;"",1+MAX($A$1:A885),"")</f>
        <v/>
      </c>
      <c r="B886" s="64"/>
      <c r="C886" s="64"/>
      <c r="D886" s="75"/>
      <c r="E886" s="46"/>
      <c r="F886" s="52"/>
      <c r="G886" s="48"/>
      <c r="H886" s="41"/>
      <c r="I886" s="37"/>
      <c r="J886" s="77"/>
      <c r="K886" s="42"/>
      <c r="L886" s="134"/>
      <c r="M886" s="154"/>
    </row>
    <row r="887" spans="1:13" x14ac:dyDescent="0.2">
      <c r="A887" s="36" t="str">
        <f>IF(F887&lt;&gt;"",1+MAX($A$1:A886),"")</f>
        <v/>
      </c>
      <c r="B887" s="44"/>
      <c r="C887" s="38"/>
      <c r="D887" s="44"/>
      <c r="E887" s="55" t="s">
        <v>127</v>
      </c>
      <c r="F887" s="47"/>
      <c r="G887" s="87"/>
      <c r="H887" s="49"/>
      <c r="I887" s="38"/>
      <c r="J887" s="79"/>
      <c r="K887" s="93"/>
      <c r="L887" s="133"/>
      <c r="M887" s="153"/>
    </row>
    <row r="888" spans="1:13" s="12" customFormat="1" ht="18.75" x14ac:dyDescent="0.2">
      <c r="A888" s="36">
        <f>IF(F888&lt;&gt;"",1+MAX($A$1:A887),"")</f>
        <v>449</v>
      </c>
      <c r="B888" s="44" t="s">
        <v>82</v>
      </c>
      <c r="C888" s="37"/>
      <c r="D888" s="75"/>
      <c r="E888" s="46" t="s">
        <v>128</v>
      </c>
      <c r="F888" s="52">
        <f>38967-1546-142</f>
        <v>37279</v>
      </c>
      <c r="G888" s="48">
        <v>0.1</v>
      </c>
      <c r="H888" s="41">
        <f>F888*(1+G888)</f>
        <v>41006.9</v>
      </c>
      <c r="I888" s="37" t="s">
        <v>16</v>
      </c>
      <c r="J888" s="53">
        <v>0</v>
      </c>
      <c r="K888" s="42">
        <f>J888*H888</f>
        <v>0</v>
      </c>
      <c r="L888" s="134"/>
      <c r="M888" s="154"/>
    </row>
    <row r="889" spans="1:13" s="12" customFormat="1" ht="18.75" x14ac:dyDescent="0.2">
      <c r="A889" s="36">
        <f>IF(F889&lt;&gt;"",1+MAX($A$1:A888),"")</f>
        <v>450</v>
      </c>
      <c r="B889" s="44" t="s">
        <v>125</v>
      </c>
      <c r="C889" s="37"/>
      <c r="D889" s="75"/>
      <c r="E889" s="46" t="s">
        <v>129</v>
      </c>
      <c r="F889" s="52">
        <f>11412</f>
        <v>11412</v>
      </c>
      <c r="G889" s="48">
        <v>0.1</v>
      </c>
      <c r="H889" s="41">
        <f>F889*(1+G889)</f>
        <v>12553.2</v>
      </c>
      <c r="I889" s="37" t="s">
        <v>16</v>
      </c>
      <c r="J889" s="53">
        <v>0</v>
      </c>
      <c r="K889" s="42">
        <f>J889*H889</f>
        <v>0</v>
      </c>
      <c r="L889" s="134"/>
      <c r="M889" s="154"/>
    </row>
    <row r="890" spans="1:13" s="12" customFormat="1" ht="18.75" x14ac:dyDescent="0.2">
      <c r="A890" s="36">
        <f>IF(F890&lt;&gt;"",1+MAX($A$1:A889),"")</f>
        <v>451</v>
      </c>
      <c r="B890" s="44" t="s">
        <v>125</v>
      </c>
      <c r="C890" s="37"/>
      <c r="D890" s="75"/>
      <c r="E890" s="46" t="s">
        <v>130</v>
      </c>
      <c r="F890" s="52">
        <v>55</v>
      </c>
      <c r="G890" s="48">
        <v>0</v>
      </c>
      <c r="H890" s="41">
        <f>F890*(1+G890)</f>
        <v>55</v>
      </c>
      <c r="I890" s="37" t="s">
        <v>18</v>
      </c>
      <c r="J890" s="53">
        <v>0</v>
      </c>
      <c r="K890" s="42">
        <f>J890*H890</f>
        <v>0</v>
      </c>
      <c r="L890" s="134"/>
      <c r="M890" s="154"/>
    </row>
    <row r="891" spans="1:13" s="12" customFormat="1" ht="18.75" x14ac:dyDescent="0.2">
      <c r="A891" s="36">
        <f>IF(F891&lt;&gt;"",1+MAX($A$1:A890),"")</f>
        <v>452</v>
      </c>
      <c r="B891" s="44" t="s">
        <v>125</v>
      </c>
      <c r="C891" s="37"/>
      <c r="D891" s="75"/>
      <c r="E891" s="46" t="s">
        <v>131</v>
      </c>
      <c r="F891" s="52">
        <v>16</v>
      </c>
      <c r="G891" s="48">
        <v>0</v>
      </c>
      <c r="H891" s="41">
        <f>F891*(1+G891)</f>
        <v>16</v>
      </c>
      <c r="I891" s="37" t="s">
        <v>18</v>
      </c>
      <c r="J891" s="53">
        <v>0</v>
      </c>
      <c r="K891" s="42">
        <f>J891*H891</f>
        <v>0</v>
      </c>
      <c r="L891" s="134"/>
      <c r="M891" s="154"/>
    </row>
    <row r="892" spans="1:13" x14ac:dyDescent="0.2">
      <c r="A892" s="36" t="str">
        <f>IF(F892&lt;&gt;"",1+MAX($A$1:A891),"")</f>
        <v/>
      </c>
      <c r="B892" s="44"/>
      <c r="C892" s="38"/>
      <c r="D892" s="85"/>
      <c r="E892" s="40"/>
      <c r="F892" s="49"/>
      <c r="G892" s="87"/>
      <c r="H892" s="49"/>
      <c r="I892" s="38"/>
      <c r="J892" s="94"/>
      <c r="K892" s="95"/>
      <c r="L892" s="40"/>
      <c r="M892" s="153"/>
    </row>
    <row r="893" spans="1:13" x14ac:dyDescent="0.2">
      <c r="A893" s="36" t="str">
        <f>IF(F893&lt;&gt;"",1+MAX($A$1:A892),"")</f>
        <v/>
      </c>
      <c r="B893" s="44"/>
      <c r="C893" s="38"/>
      <c r="D893" s="85"/>
      <c r="E893" s="55" t="s">
        <v>132</v>
      </c>
      <c r="F893" s="47"/>
      <c r="G893" s="87"/>
      <c r="H893" s="49"/>
      <c r="I893" s="38"/>
      <c r="J893" s="94"/>
      <c r="K893" s="56"/>
      <c r="L893" s="56">
        <f>SUM(K887:K892)</f>
        <v>0</v>
      </c>
      <c r="M893" s="153"/>
    </row>
    <row r="894" spans="1:13" s="12" customFormat="1" ht="18.75" x14ac:dyDescent="0.2">
      <c r="A894" s="36" t="str">
        <f>IF(F894&lt;&gt;"",1+MAX($A$1:A893),"")</f>
        <v/>
      </c>
      <c r="B894" s="64"/>
      <c r="C894" s="37"/>
      <c r="D894" s="75"/>
      <c r="E894" s="46"/>
      <c r="F894" s="52"/>
      <c r="G894" s="48"/>
      <c r="H894" s="41"/>
      <c r="I894" s="37"/>
      <c r="J894" s="77"/>
      <c r="K894" s="42"/>
      <c r="L894" s="134"/>
      <c r="M894" s="154"/>
    </row>
    <row r="895" spans="1:13" x14ac:dyDescent="0.2">
      <c r="A895" s="36" t="str">
        <f>IF(F895&lt;&gt;"",1+MAX($A$1:A894),"")</f>
        <v/>
      </c>
      <c r="B895" s="58"/>
      <c r="C895" s="59"/>
      <c r="D895" s="59" t="s">
        <v>57</v>
      </c>
      <c r="E895" s="60" t="s">
        <v>50</v>
      </c>
      <c r="F895" s="40"/>
      <c r="G895" s="40"/>
      <c r="H895" s="40"/>
      <c r="I895" s="40"/>
      <c r="J895" s="40"/>
      <c r="K895" s="40"/>
      <c r="L895" s="40"/>
      <c r="M895" s="153"/>
    </row>
    <row r="896" spans="1:13" s="13" customFormat="1" x14ac:dyDescent="0.2">
      <c r="A896" s="36" t="str">
        <f>IF(F896&lt;&gt;"",1+MAX($A$1:A895),"")</f>
        <v/>
      </c>
      <c r="B896" s="37"/>
      <c r="C896" s="44"/>
      <c r="D896" s="39"/>
      <c r="E896" s="39" t="s">
        <v>48</v>
      </c>
      <c r="F896" s="40"/>
      <c r="G896" s="40"/>
      <c r="H896" s="41"/>
      <c r="I896" s="37"/>
      <c r="J896" s="42"/>
      <c r="K896" s="43"/>
      <c r="L896" s="43"/>
      <c r="M896" s="150"/>
    </row>
    <row r="897" spans="1:13" s="13" customFormat="1" ht="63" x14ac:dyDescent="0.2">
      <c r="A897" s="36">
        <f>IF(F897&lt;&gt;"",1+MAX($A$1:A896),"")</f>
        <v>453</v>
      </c>
      <c r="B897" s="44" t="s">
        <v>82</v>
      </c>
      <c r="C897" s="44" t="s">
        <v>408</v>
      </c>
      <c r="D897" s="45"/>
      <c r="E897" s="24" t="s">
        <v>453</v>
      </c>
      <c r="F897" s="47">
        <f>12</f>
        <v>12</v>
      </c>
      <c r="G897" s="48">
        <v>0</v>
      </c>
      <c r="H897" s="49">
        <f t="shared" ref="H897:H899" si="247">F897*(1+G897)</f>
        <v>12</v>
      </c>
      <c r="I897" s="38" t="s">
        <v>18</v>
      </c>
      <c r="J897" s="53">
        <v>0</v>
      </c>
      <c r="K897" s="51">
        <f t="shared" ref="K897:K899" si="248">J897*H897</f>
        <v>0</v>
      </c>
      <c r="L897" s="43"/>
      <c r="M897" s="150"/>
    </row>
    <row r="898" spans="1:13" s="13" customFormat="1" ht="78.75" x14ac:dyDescent="0.2">
      <c r="A898" s="36">
        <f>IF(F898&lt;&gt;"",1+MAX($A$1:A897),"")</f>
        <v>454</v>
      </c>
      <c r="B898" s="44" t="s">
        <v>82</v>
      </c>
      <c r="C898" s="44" t="s">
        <v>408</v>
      </c>
      <c r="D898" s="45"/>
      <c r="E898" s="24" t="s">
        <v>454</v>
      </c>
      <c r="F898" s="47">
        <f>12</f>
        <v>12</v>
      </c>
      <c r="G898" s="48">
        <v>0</v>
      </c>
      <c r="H898" s="49">
        <f t="shared" si="247"/>
        <v>12</v>
      </c>
      <c r="I898" s="38" t="s">
        <v>18</v>
      </c>
      <c r="J898" s="53">
        <v>0</v>
      </c>
      <c r="K898" s="51">
        <f t="shared" si="248"/>
        <v>0</v>
      </c>
      <c r="L898" s="43"/>
      <c r="M898" s="150"/>
    </row>
    <row r="899" spans="1:13" s="13" customFormat="1" ht="63" x14ac:dyDescent="0.2">
      <c r="A899" s="36">
        <f>IF(F899&lt;&gt;"",1+MAX($A$1:A898),"")</f>
        <v>455</v>
      </c>
      <c r="B899" s="44" t="s">
        <v>82</v>
      </c>
      <c r="C899" s="44" t="s">
        <v>408</v>
      </c>
      <c r="D899" s="45"/>
      <c r="E899" s="24" t="s">
        <v>455</v>
      </c>
      <c r="F899" s="47">
        <f>12</f>
        <v>12</v>
      </c>
      <c r="G899" s="48">
        <v>0</v>
      </c>
      <c r="H899" s="49">
        <f t="shared" si="247"/>
        <v>12</v>
      </c>
      <c r="I899" s="38" t="s">
        <v>18</v>
      </c>
      <c r="J899" s="53">
        <v>0</v>
      </c>
      <c r="K899" s="51">
        <f t="shared" si="248"/>
        <v>0</v>
      </c>
      <c r="L899" s="43"/>
      <c r="M899" s="150"/>
    </row>
    <row r="900" spans="1:13" s="13" customFormat="1" ht="63" x14ac:dyDescent="0.2">
      <c r="A900" s="36">
        <f>IF(F900&lt;&gt;"",1+MAX($A$1:A899),"")</f>
        <v>456</v>
      </c>
      <c r="B900" s="44" t="s">
        <v>82</v>
      </c>
      <c r="C900" s="44" t="s">
        <v>408</v>
      </c>
      <c r="D900" s="45"/>
      <c r="E900" s="24" t="s">
        <v>456</v>
      </c>
      <c r="F900" s="47">
        <f>12</f>
        <v>12</v>
      </c>
      <c r="G900" s="48">
        <v>0</v>
      </c>
      <c r="H900" s="49">
        <f>F900*(1+G900)</f>
        <v>12</v>
      </c>
      <c r="I900" s="38" t="s">
        <v>18</v>
      </c>
      <c r="J900" s="53">
        <v>0</v>
      </c>
      <c r="K900" s="51">
        <f>J900*H900</f>
        <v>0</v>
      </c>
      <c r="L900" s="43"/>
      <c r="M900" s="150"/>
    </row>
    <row r="901" spans="1:13" s="13" customFormat="1" ht="63" x14ac:dyDescent="0.2">
      <c r="A901" s="36">
        <f>IF(F901&lt;&gt;"",1+MAX($A$1:A900),"")</f>
        <v>457</v>
      </c>
      <c r="B901" s="44" t="s">
        <v>82</v>
      </c>
      <c r="C901" s="44" t="s">
        <v>408</v>
      </c>
      <c r="D901" s="45"/>
      <c r="E901" s="24" t="s">
        <v>457</v>
      </c>
      <c r="F901" s="47">
        <v>8</v>
      </c>
      <c r="G901" s="48">
        <v>0</v>
      </c>
      <c r="H901" s="49">
        <f>F901*(1+G901)</f>
        <v>8</v>
      </c>
      <c r="I901" s="38" t="s">
        <v>18</v>
      </c>
      <c r="J901" s="53">
        <v>0</v>
      </c>
      <c r="K901" s="51">
        <f>J901*H901</f>
        <v>0</v>
      </c>
      <c r="L901" s="43"/>
      <c r="M901" s="150"/>
    </row>
    <row r="902" spans="1:13" s="13" customFormat="1" ht="63" x14ac:dyDescent="0.2">
      <c r="A902" s="36">
        <f>IF(F902&lt;&gt;"",1+MAX($A$1:A901),"")</f>
        <v>458</v>
      </c>
      <c r="B902" s="44" t="s">
        <v>82</v>
      </c>
      <c r="C902" s="44" t="s">
        <v>408</v>
      </c>
      <c r="D902" s="45"/>
      <c r="E902" s="24" t="s">
        <v>458</v>
      </c>
      <c r="F902" s="47">
        <v>3</v>
      </c>
      <c r="G902" s="48">
        <v>0</v>
      </c>
      <c r="H902" s="49">
        <f t="shared" ref="H902" si="249">F902*(1+G902)</f>
        <v>3</v>
      </c>
      <c r="I902" s="38" t="s">
        <v>18</v>
      </c>
      <c r="J902" s="53">
        <v>0</v>
      </c>
      <c r="K902" s="51">
        <f t="shared" ref="K902" si="250">J902*H902</f>
        <v>0</v>
      </c>
      <c r="L902" s="43"/>
      <c r="M902" s="150"/>
    </row>
    <row r="903" spans="1:13" s="13" customFormat="1" x14ac:dyDescent="0.2">
      <c r="A903" s="36" t="str">
        <f>IF(F903&lt;&gt;"",1+MAX($A$1:A902),"")</f>
        <v/>
      </c>
      <c r="B903" s="38"/>
      <c r="C903" s="44"/>
      <c r="D903" s="44"/>
      <c r="E903" s="40"/>
      <c r="F903" s="41"/>
      <c r="G903" s="54"/>
      <c r="H903" s="41"/>
      <c r="I903" s="37"/>
      <c r="J903" s="51"/>
      <c r="K903" s="51"/>
      <c r="L903" s="51"/>
      <c r="M903" s="150"/>
    </row>
    <row r="904" spans="1:13" s="13" customFormat="1" x14ac:dyDescent="0.2">
      <c r="A904" s="36" t="str">
        <f>IF(F904&lt;&gt;"",1+MAX($A$1:A903),"")</f>
        <v/>
      </c>
      <c r="B904" s="38"/>
      <c r="C904" s="44"/>
      <c r="D904" s="44"/>
      <c r="E904" s="55" t="s">
        <v>49</v>
      </c>
      <c r="F904" s="52"/>
      <c r="G904" s="54"/>
      <c r="H904" s="41"/>
      <c r="I904" s="37"/>
      <c r="J904" s="51"/>
      <c r="K904" s="56"/>
      <c r="L904" s="56">
        <f>SUM(K896:K903)</f>
        <v>0</v>
      </c>
      <c r="M904" s="150"/>
    </row>
    <row r="905" spans="1:13" s="12" customFormat="1" ht="18.75" x14ac:dyDescent="0.2">
      <c r="A905" s="36" t="str">
        <f>IF(F905&lt;&gt;"",1+MAX($A$1:A904),"")</f>
        <v/>
      </c>
      <c r="B905" s="64"/>
      <c r="C905" s="37"/>
      <c r="D905" s="75"/>
      <c r="E905" s="46"/>
      <c r="F905" s="52"/>
      <c r="G905" s="48"/>
      <c r="H905" s="41"/>
      <c r="I905" s="37"/>
      <c r="J905" s="77"/>
      <c r="K905" s="42"/>
      <c r="L905" s="134"/>
      <c r="M905" s="154"/>
    </row>
    <row r="906" spans="1:13" s="13" customFormat="1" x14ac:dyDescent="0.2">
      <c r="A906" s="36" t="str">
        <f>IF(F906&lt;&gt;"",1+MAX($A$1:A905),"")</f>
        <v/>
      </c>
      <c r="B906" s="37"/>
      <c r="C906" s="44"/>
      <c r="D906" s="39"/>
      <c r="E906" s="39" t="s">
        <v>370</v>
      </c>
      <c r="F906" s="40"/>
      <c r="G906" s="40"/>
      <c r="H906" s="41"/>
      <c r="I906" s="37"/>
      <c r="J906" s="42"/>
      <c r="K906" s="43"/>
      <c r="L906" s="43"/>
      <c r="M906" s="150"/>
    </row>
    <row r="907" spans="1:13" s="13" customFormat="1" ht="47.25" x14ac:dyDescent="0.2">
      <c r="A907" s="36">
        <f>IF(F907&lt;&gt;"",1+MAX($A$1:A906),"")</f>
        <v>459</v>
      </c>
      <c r="B907" s="38" t="s">
        <v>371</v>
      </c>
      <c r="C907" s="44" t="s">
        <v>372</v>
      </c>
      <c r="D907" s="44"/>
      <c r="E907" s="55" t="s">
        <v>459</v>
      </c>
      <c r="F907" s="47">
        <v>1</v>
      </c>
      <c r="G907" s="48">
        <v>0</v>
      </c>
      <c r="H907" s="49">
        <f t="shared" ref="H907" si="251">F907*(1+G907)</f>
        <v>1</v>
      </c>
      <c r="I907" s="38" t="s">
        <v>18</v>
      </c>
      <c r="J907" s="53">
        <v>0</v>
      </c>
      <c r="K907" s="51">
        <f t="shared" ref="K907" si="252">J907*H907</f>
        <v>0</v>
      </c>
      <c r="L907" s="43"/>
      <c r="M907" s="150"/>
    </row>
    <row r="908" spans="1:13" s="13" customFormat="1" x14ac:dyDescent="0.2">
      <c r="A908" s="36" t="str">
        <f>IF(F908&lt;&gt;"",1+MAX($A$1:A907),"")</f>
        <v/>
      </c>
      <c r="B908" s="38"/>
      <c r="C908" s="44"/>
      <c r="D908" s="44"/>
      <c r="E908" s="40"/>
      <c r="F908" s="41"/>
      <c r="G908" s="54"/>
      <c r="H908" s="41"/>
      <c r="I908" s="37"/>
      <c r="J908" s="51"/>
      <c r="K908" s="51"/>
      <c r="L908" s="51"/>
      <c r="M908" s="150"/>
    </row>
    <row r="909" spans="1:13" s="13" customFormat="1" x14ac:dyDescent="0.2">
      <c r="A909" s="36" t="str">
        <f>IF(F909&lt;&gt;"",1+MAX($A$1:A908),"")</f>
        <v/>
      </c>
      <c r="B909" s="38"/>
      <c r="C909" s="44"/>
      <c r="D909" s="44"/>
      <c r="E909" s="55" t="s">
        <v>373</v>
      </c>
      <c r="F909" s="52"/>
      <c r="G909" s="54"/>
      <c r="H909" s="41"/>
      <c r="I909" s="37"/>
      <c r="J909" s="51"/>
      <c r="K909" s="56"/>
      <c r="L909" s="56">
        <f>SUM(K906:K908)</f>
        <v>0</v>
      </c>
      <c r="M909" s="150"/>
    </row>
    <row r="910" spans="1:13" s="13" customFormat="1" x14ac:dyDescent="0.2">
      <c r="A910" s="36" t="str">
        <f>IF(F910&lt;&gt;"",1+MAX($A$1:A909),"")</f>
        <v/>
      </c>
      <c r="B910" s="38"/>
      <c r="C910" s="44"/>
      <c r="D910" s="44"/>
      <c r="E910" s="55"/>
      <c r="F910" s="47"/>
      <c r="G910" s="87"/>
      <c r="H910" s="49"/>
      <c r="I910" s="38"/>
      <c r="J910" s="53"/>
      <c r="K910" s="51"/>
      <c r="L910" s="43"/>
      <c r="M910" s="150"/>
    </row>
    <row r="911" spans="1:13" s="13" customFormat="1" x14ac:dyDescent="0.2">
      <c r="A911" s="36" t="str">
        <f>IF(F911&lt;&gt;"",1+MAX($A$1:A910),"")</f>
        <v/>
      </c>
      <c r="B911" s="37"/>
      <c r="C911" s="44"/>
      <c r="D911" s="39"/>
      <c r="E911" s="39" t="s">
        <v>374</v>
      </c>
      <c r="F911" s="40"/>
      <c r="G911" s="40"/>
      <c r="H911" s="41"/>
      <c r="I911" s="37"/>
      <c r="J911" s="42"/>
      <c r="K911" s="43"/>
      <c r="L911" s="43"/>
      <c r="M911" s="150"/>
    </row>
    <row r="912" spans="1:13" s="13" customFormat="1" ht="47.25" x14ac:dyDescent="0.2">
      <c r="A912" s="36">
        <f>IF(F912&lt;&gt;"",1+MAX($A$1:A911),"")</f>
        <v>460</v>
      </c>
      <c r="B912" s="38" t="s">
        <v>82</v>
      </c>
      <c r="C912" s="44" t="s">
        <v>375</v>
      </c>
      <c r="D912" s="44"/>
      <c r="E912" s="55" t="s">
        <v>460</v>
      </c>
      <c r="F912" s="47">
        <v>3</v>
      </c>
      <c r="G912" s="48">
        <v>0</v>
      </c>
      <c r="H912" s="49">
        <f t="shared" ref="H912:H916" si="253">F912*(1+G912)</f>
        <v>3</v>
      </c>
      <c r="I912" s="38" t="s">
        <v>18</v>
      </c>
      <c r="J912" s="53">
        <v>0</v>
      </c>
      <c r="K912" s="51">
        <f t="shared" ref="K912:K916" si="254">J912*H912</f>
        <v>0</v>
      </c>
      <c r="L912" s="43"/>
      <c r="M912" s="150"/>
    </row>
    <row r="913" spans="1:13" s="13" customFormat="1" ht="47.25" x14ac:dyDescent="0.2">
      <c r="A913" s="36">
        <f>IF(F913&lt;&gt;"",1+MAX($A$1:A912),"")</f>
        <v>461</v>
      </c>
      <c r="B913" s="38" t="s">
        <v>82</v>
      </c>
      <c r="C913" s="44" t="s">
        <v>375</v>
      </c>
      <c r="D913" s="44"/>
      <c r="E913" s="55" t="s">
        <v>461</v>
      </c>
      <c r="F913" s="47">
        <v>1</v>
      </c>
      <c r="G913" s="48">
        <v>0</v>
      </c>
      <c r="H913" s="49">
        <f t="shared" si="253"/>
        <v>1</v>
      </c>
      <c r="I913" s="38" t="s">
        <v>18</v>
      </c>
      <c r="J913" s="53">
        <v>0</v>
      </c>
      <c r="K913" s="51">
        <f t="shared" si="254"/>
        <v>0</v>
      </c>
      <c r="L913" s="43"/>
      <c r="M913" s="150"/>
    </row>
    <row r="914" spans="1:13" s="13" customFormat="1" ht="47.25" x14ac:dyDescent="0.2">
      <c r="A914" s="36">
        <f>IF(F914&lt;&gt;"",1+MAX($A$1:A913),"")</f>
        <v>462</v>
      </c>
      <c r="B914" s="38" t="s">
        <v>82</v>
      </c>
      <c r="C914" s="44" t="s">
        <v>375</v>
      </c>
      <c r="D914" s="44"/>
      <c r="E914" s="55" t="s">
        <v>462</v>
      </c>
      <c r="F914" s="47">
        <v>3</v>
      </c>
      <c r="G914" s="48">
        <v>0</v>
      </c>
      <c r="H914" s="49">
        <f t="shared" si="253"/>
        <v>3</v>
      </c>
      <c r="I914" s="38" t="s">
        <v>18</v>
      </c>
      <c r="J914" s="53">
        <v>0</v>
      </c>
      <c r="K914" s="51">
        <f t="shared" si="254"/>
        <v>0</v>
      </c>
      <c r="L914" s="43"/>
      <c r="M914" s="150"/>
    </row>
    <row r="915" spans="1:13" s="13" customFormat="1" ht="47.25" x14ac:dyDescent="0.2">
      <c r="A915" s="36">
        <f>IF(F915&lt;&gt;"",1+MAX($A$1:A914),"")</f>
        <v>463</v>
      </c>
      <c r="B915" s="38" t="s">
        <v>82</v>
      </c>
      <c r="C915" s="44" t="s">
        <v>375</v>
      </c>
      <c r="D915" s="44"/>
      <c r="E915" s="55" t="s">
        <v>463</v>
      </c>
      <c r="F915" s="47">
        <v>3</v>
      </c>
      <c r="G915" s="48">
        <v>0</v>
      </c>
      <c r="H915" s="49">
        <f t="shared" si="253"/>
        <v>3</v>
      </c>
      <c r="I915" s="38" t="s">
        <v>18</v>
      </c>
      <c r="J915" s="53">
        <v>0</v>
      </c>
      <c r="K915" s="51">
        <f t="shared" si="254"/>
        <v>0</v>
      </c>
      <c r="L915" s="43"/>
      <c r="M915" s="150"/>
    </row>
    <row r="916" spans="1:13" s="13" customFormat="1" ht="47.25" x14ac:dyDescent="0.2">
      <c r="A916" s="36">
        <f>IF(F916&lt;&gt;"",1+MAX($A$1:A915),"")</f>
        <v>464</v>
      </c>
      <c r="B916" s="38" t="s">
        <v>82</v>
      </c>
      <c r="C916" s="44" t="s">
        <v>375</v>
      </c>
      <c r="D916" s="44"/>
      <c r="E916" s="55" t="s">
        <v>464</v>
      </c>
      <c r="F916" s="47">
        <v>2</v>
      </c>
      <c r="G916" s="48">
        <v>0</v>
      </c>
      <c r="H916" s="49">
        <f t="shared" si="253"/>
        <v>2</v>
      </c>
      <c r="I916" s="38" t="s">
        <v>18</v>
      </c>
      <c r="J916" s="53">
        <v>0</v>
      </c>
      <c r="K916" s="51">
        <f t="shared" si="254"/>
        <v>0</v>
      </c>
      <c r="L916" s="43"/>
      <c r="M916" s="150"/>
    </row>
    <row r="917" spans="1:13" s="13" customFormat="1" x14ac:dyDescent="0.2">
      <c r="A917" s="36" t="str">
        <f>IF(F917&lt;&gt;"",1+MAX($A$1:A916),"")</f>
        <v/>
      </c>
      <c r="B917" s="38"/>
      <c r="C917" s="44"/>
      <c r="D917" s="44"/>
      <c r="E917" s="40"/>
      <c r="F917" s="41"/>
      <c r="G917" s="54"/>
      <c r="H917" s="41"/>
      <c r="I917" s="37"/>
      <c r="J917" s="51"/>
      <c r="K917" s="51"/>
      <c r="L917" s="51"/>
      <c r="M917" s="150"/>
    </row>
    <row r="918" spans="1:13" s="13" customFormat="1" x14ac:dyDescent="0.2">
      <c r="A918" s="36" t="str">
        <f>IF(F918&lt;&gt;"",1+MAX($A$1:A917),"")</f>
        <v/>
      </c>
      <c r="B918" s="38"/>
      <c r="C918" s="44"/>
      <c r="D918" s="44"/>
      <c r="E918" s="55" t="s">
        <v>376</v>
      </c>
      <c r="F918" s="52"/>
      <c r="G918" s="54"/>
      <c r="H918" s="41"/>
      <c r="I918" s="37"/>
      <c r="J918" s="51"/>
      <c r="K918" s="56"/>
      <c r="L918" s="56">
        <f>SUM(K911:K917)</f>
        <v>0</v>
      </c>
      <c r="M918" s="150"/>
    </row>
    <row r="919" spans="1:13" s="13" customFormat="1" x14ac:dyDescent="0.2">
      <c r="A919" s="36" t="str">
        <f>IF(F919&lt;&gt;"",1+MAX($A$1:A918),"")</f>
        <v/>
      </c>
      <c r="B919" s="38"/>
      <c r="C919" s="44"/>
      <c r="D919" s="44"/>
      <c r="E919" s="55"/>
      <c r="F919" s="47"/>
      <c r="G919" s="87"/>
      <c r="H919" s="49"/>
      <c r="I919" s="38"/>
      <c r="J919" s="53"/>
      <c r="K919" s="51"/>
      <c r="L919" s="43"/>
      <c r="M919" s="150"/>
    </row>
    <row r="920" spans="1:13" s="13" customFormat="1" x14ac:dyDescent="0.2">
      <c r="A920" s="36" t="str">
        <f>IF(F920&lt;&gt;"",1+MAX($A$1:A919),"")</f>
        <v/>
      </c>
      <c r="B920" s="37"/>
      <c r="C920" s="44"/>
      <c r="D920" s="39"/>
      <c r="E920" s="39" t="s">
        <v>362</v>
      </c>
      <c r="F920" s="40"/>
      <c r="G920" s="40"/>
      <c r="H920" s="41"/>
      <c r="I920" s="37"/>
      <c r="J920" s="42"/>
      <c r="K920" s="43"/>
      <c r="L920" s="43"/>
      <c r="M920" s="150"/>
    </row>
    <row r="921" spans="1:13" s="15" customFormat="1" ht="31.5" x14ac:dyDescent="0.2">
      <c r="A921" s="36">
        <f>IF(F921&lt;&gt;"",1+MAX($A$1:A920),"")</f>
        <v>465</v>
      </c>
      <c r="B921" s="44" t="s">
        <v>159</v>
      </c>
      <c r="C921" s="64"/>
      <c r="D921" s="75"/>
      <c r="E921" s="46" t="s">
        <v>465</v>
      </c>
      <c r="F921" s="52">
        <v>1</v>
      </c>
      <c r="G921" s="48">
        <v>0</v>
      </c>
      <c r="H921" s="41">
        <f>F921*(1+G921)</f>
        <v>1</v>
      </c>
      <c r="I921" s="37" t="s">
        <v>18</v>
      </c>
      <c r="J921" s="50">
        <v>0</v>
      </c>
      <c r="K921" s="42">
        <f>J921*H921</f>
        <v>0</v>
      </c>
      <c r="L921" s="134"/>
      <c r="M921" s="154"/>
    </row>
    <row r="922" spans="1:13" s="13" customFormat="1" x14ac:dyDescent="0.2">
      <c r="A922" s="36" t="str">
        <f>IF(F922&lt;&gt;"",1+MAX($A$1:A921),"")</f>
        <v/>
      </c>
      <c r="B922" s="38"/>
      <c r="C922" s="44"/>
      <c r="D922" s="44"/>
      <c r="E922" s="40"/>
      <c r="F922" s="41"/>
      <c r="G922" s="54"/>
      <c r="H922" s="41"/>
      <c r="I922" s="37"/>
      <c r="J922" s="51"/>
      <c r="K922" s="51"/>
      <c r="L922" s="51"/>
      <c r="M922" s="150"/>
    </row>
    <row r="923" spans="1:13" s="13" customFormat="1" x14ac:dyDescent="0.2">
      <c r="A923" s="36" t="str">
        <f>IF(F923&lt;&gt;"",1+MAX($A$1:A922),"")</f>
        <v/>
      </c>
      <c r="B923" s="38"/>
      <c r="C923" s="44"/>
      <c r="D923" s="44"/>
      <c r="E923" s="55" t="s">
        <v>361</v>
      </c>
      <c r="F923" s="52"/>
      <c r="G923" s="54"/>
      <c r="H923" s="41"/>
      <c r="I923" s="37"/>
      <c r="J923" s="51"/>
      <c r="K923" s="56"/>
      <c r="L923" s="56">
        <f>SUM(K920:K922)</f>
        <v>0</v>
      </c>
      <c r="M923" s="150"/>
    </row>
    <row r="924" spans="1:13" s="13" customFormat="1" x14ac:dyDescent="0.2">
      <c r="A924" s="36"/>
      <c r="B924" s="38"/>
      <c r="C924" s="44"/>
      <c r="D924" s="44"/>
      <c r="E924" s="55"/>
      <c r="F924" s="52"/>
      <c r="G924" s="54"/>
      <c r="H924" s="41"/>
      <c r="I924" s="37"/>
      <c r="J924" s="51"/>
      <c r="K924" s="56"/>
      <c r="L924" s="56"/>
      <c r="M924" s="150"/>
    </row>
    <row r="925" spans="1:13" s="13" customFormat="1" x14ac:dyDescent="0.2">
      <c r="A925" s="36" t="str">
        <f>IF(F925&lt;&gt;"",1+MAX($A$1:A923),"")</f>
        <v/>
      </c>
      <c r="B925" s="38"/>
      <c r="C925" s="44"/>
      <c r="D925" s="44"/>
      <c r="E925" s="55"/>
      <c r="F925" s="47"/>
      <c r="G925" s="87"/>
      <c r="H925" s="49"/>
      <c r="I925" s="38"/>
      <c r="J925" s="53"/>
      <c r="K925" s="51"/>
      <c r="L925" s="43"/>
      <c r="M925" s="150"/>
    </row>
    <row r="926" spans="1:13" x14ac:dyDescent="0.2">
      <c r="A926" s="36" t="str">
        <f>IF(F926&lt;&gt;"",1+MAX($A$1:A925),"")</f>
        <v/>
      </c>
      <c r="B926" s="58"/>
      <c r="C926" s="59"/>
      <c r="D926" s="59" t="s">
        <v>58</v>
      </c>
      <c r="E926" s="60" t="s">
        <v>61</v>
      </c>
      <c r="F926" s="40"/>
      <c r="G926" s="40"/>
      <c r="H926" s="40"/>
      <c r="I926" s="40"/>
      <c r="J926" s="40"/>
      <c r="K926" s="40"/>
      <c r="L926" s="40"/>
      <c r="M926" s="153"/>
    </row>
    <row r="927" spans="1:13" s="13" customFormat="1" x14ac:dyDescent="0.2">
      <c r="A927" s="36" t="str">
        <f>IF(F927&lt;&gt;"",1+MAX($A$1:A926),"")</f>
        <v/>
      </c>
      <c r="B927" s="37"/>
      <c r="C927" s="44"/>
      <c r="D927" s="39"/>
      <c r="E927" s="39" t="s">
        <v>59</v>
      </c>
      <c r="F927" s="40"/>
      <c r="G927" s="40"/>
      <c r="H927" s="41"/>
      <c r="I927" s="37"/>
      <c r="J927" s="42"/>
      <c r="K927" s="43"/>
      <c r="L927" s="43"/>
      <c r="M927" s="150"/>
    </row>
    <row r="928" spans="1:13" s="13" customFormat="1" ht="78.75" x14ac:dyDescent="0.2">
      <c r="A928" s="36">
        <f>IF(F928&lt;&gt;"",1+MAX($A$1:A927),"")</f>
        <v>466</v>
      </c>
      <c r="B928" s="44" t="s">
        <v>82</v>
      </c>
      <c r="C928" s="44" t="s">
        <v>408</v>
      </c>
      <c r="D928" s="45"/>
      <c r="E928" s="24" t="s">
        <v>466</v>
      </c>
      <c r="F928" s="47">
        <v>8</v>
      </c>
      <c r="G928" s="48">
        <v>0</v>
      </c>
      <c r="H928" s="49">
        <f t="shared" ref="H928:H933" si="255">F928*(1+G928)</f>
        <v>8</v>
      </c>
      <c r="I928" s="38" t="s">
        <v>18</v>
      </c>
      <c r="J928" s="50">
        <v>0</v>
      </c>
      <c r="K928" s="51">
        <f t="shared" ref="K928:K933" si="256">J928*H928</f>
        <v>0</v>
      </c>
      <c r="L928" s="43"/>
      <c r="M928" s="150"/>
    </row>
    <row r="929" spans="1:13" s="13" customFormat="1" ht="78.75" x14ac:dyDescent="0.2">
      <c r="A929" s="36">
        <f>IF(F929&lt;&gt;"",1+MAX($A$1:A928),"")</f>
        <v>467</v>
      </c>
      <c r="B929" s="44" t="s">
        <v>82</v>
      </c>
      <c r="C929" s="44" t="s">
        <v>408</v>
      </c>
      <c r="D929" s="45"/>
      <c r="E929" s="24" t="s">
        <v>467</v>
      </c>
      <c r="F929" s="47">
        <v>8</v>
      </c>
      <c r="G929" s="48">
        <v>0</v>
      </c>
      <c r="H929" s="49">
        <f t="shared" si="255"/>
        <v>8</v>
      </c>
      <c r="I929" s="38" t="s">
        <v>18</v>
      </c>
      <c r="J929" s="50">
        <v>0</v>
      </c>
      <c r="K929" s="51">
        <f t="shared" si="256"/>
        <v>0</v>
      </c>
      <c r="L929" s="43"/>
      <c r="M929" s="150"/>
    </row>
    <row r="930" spans="1:13" s="13" customFormat="1" ht="94.5" x14ac:dyDescent="0.2">
      <c r="A930" s="36">
        <f>IF(F930&lt;&gt;"",1+MAX($A$1:A929),"")</f>
        <v>468</v>
      </c>
      <c r="B930" s="44" t="s">
        <v>82</v>
      </c>
      <c r="C930" s="44" t="s">
        <v>408</v>
      </c>
      <c r="D930" s="45"/>
      <c r="E930" s="24" t="s">
        <v>468</v>
      </c>
      <c r="F930" s="47">
        <v>8</v>
      </c>
      <c r="G930" s="48">
        <v>0</v>
      </c>
      <c r="H930" s="49">
        <f t="shared" si="255"/>
        <v>8</v>
      </c>
      <c r="I930" s="38" t="s">
        <v>18</v>
      </c>
      <c r="J930" s="50">
        <v>0</v>
      </c>
      <c r="K930" s="51">
        <f t="shared" si="256"/>
        <v>0</v>
      </c>
      <c r="L930" s="43"/>
      <c r="M930" s="150"/>
    </row>
    <row r="931" spans="1:13" s="13" customFormat="1" ht="78.75" x14ac:dyDescent="0.2">
      <c r="A931" s="36">
        <f>IF(F931&lt;&gt;"",1+MAX($A$1:A930),"")</f>
        <v>469</v>
      </c>
      <c r="B931" s="44" t="s">
        <v>82</v>
      </c>
      <c r="C931" s="44" t="s">
        <v>408</v>
      </c>
      <c r="D931" s="45"/>
      <c r="E931" s="24" t="s">
        <v>469</v>
      </c>
      <c r="F931" s="47">
        <v>8</v>
      </c>
      <c r="G931" s="48">
        <v>0</v>
      </c>
      <c r="H931" s="49">
        <f t="shared" si="255"/>
        <v>8</v>
      </c>
      <c r="I931" s="38" t="s">
        <v>18</v>
      </c>
      <c r="J931" s="50">
        <v>0</v>
      </c>
      <c r="K931" s="51">
        <f t="shared" si="256"/>
        <v>0</v>
      </c>
      <c r="L931" s="43"/>
      <c r="M931" s="150"/>
    </row>
    <row r="932" spans="1:13" s="13" customFormat="1" ht="94.5" x14ac:dyDescent="0.2">
      <c r="A932" s="36">
        <f>IF(F932&lt;&gt;"",1+MAX($A$1:A931),"")</f>
        <v>470</v>
      </c>
      <c r="B932" s="44" t="s">
        <v>82</v>
      </c>
      <c r="C932" s="44" t="s">
        <v>408</v>
      </c>
      <c r="D932" s="45"/>
      <c r="E932" s="24" t="s">
        <v>470</v>
      </c>
      <c r="F932" s="47">
        <v>8</v>
      </c>
      <c r="G932" s="48">
        <v>0</v>
      </c>
      <c r="H932" s="49">
        <f t="shared" ref="H932" si="257">F932*(1+G932)</f>
        <v>8</v>
      </c>
      <c r="I932" s="38" t="s">
        <v>18</v>
      </c>
      <c r="J932" s="50">
        <v>0</v>
      </c>
      <c r="K932" s="51">
        <f t="shared" ref="K932" si="258">J932*H932</f>
        <v>0</v>
      </c>
      <c r="L932" s="43"/>
      <c r="M932" s="150"/>
    </row>
    <row r="933" spans="1:13" s="13" customFormat="1" ht="78.75" x14ac:dyDescent="0.2">
      <c r="A933" s="36">
        <f>IF(F933&lt;&gt;"",1+MAX($A$1:A932),"")</f>
        <v>471</v>
      </c>
      <c r="B933" s="44" t="s">
        <v>82</v>
      </c>
      <c r="C933" s="44" t="s">
        <v>408</v>
      </c>
      <c r="D933" s="45"/>
      <c r="E933" s="24" t="s">
        <v>471</v>
      </c>
      <c r="F933" s="47">
        <v>8</v>
      </c>
      <c r="G933" s="48">
        <v>0</v>
      </c>
      <c r="H933" s="49">
        <f t="shared" si="255"/>
        <v>8</v>
      </c>
      <c r="I933" s="38" t="s">
        <v>18</v>
      </c>
      <c r="J933" s="50">
        <v>0</v>
      </c>
      <c r="K933" s="51">
        <f t="shared" si="256"/>
        <v>0</v>
      </c>
      <c r="L933" s="43"/>
      <c r="M933" s="150"/>
    </row>
    <row r="934" spans="1:13" s="13" customFormat="1" x14ac:dyDescent="0.2">
      <c r="A934" s="36"/>
      <c r="B934" s="44"/>
      <c r="C934" s="44"/>
      <c r="D934" s="45"/>
      <c r="E934" s="24"/>
      <c r="F934" s="47"/>
      <c r="G934" s="48"/>
      <c r="H934" s="49"/>
      <c r="I934" s="38"/>
      <c r="J934" s="50"/>
      <c r="K934" s="51"/>
      <c r="L934" s="43"/>
      <c r="M934" s="150"/>
    </row>
    <row r="935" spans="1:13" s="13" customFormat="1" x14ac:dyDescent="0.2">
      <c r="A935" s="36" t="str">
        <f>IF(F935&lt;&gt;"",1+MAX($A$1:A933),"")</f>
        <v/>
      </c>
      <c r="B935" s="38"/>
      <c r="C935" s="44"/>
      <c r="D935" s="44"/>
      <c r="E935" s="40"/>
      <c r="F935" s="41"/>
      <c r="G935" s="54"/>
      <c r="H935" s="41"/>
      <c r="I935" s="37"/>
      <c r="J935" s="51"/>
      <c r="K935" s="51"/>
      <c r="L935" s="51"/>
      <c r="M935" s="150"/>
    </row>
    <row r="936" spans="1:13" s="13" customFormat="1" x14ac:dyDescent="0.2">
      <c r="A936" s="36" t="str">
        <f>IF(F936&lt;&gt;"",1+MAX($A$1:A935),"")</f>
        <v/>
      </c>
      <c r="B936" s="38"/>
      <c r="C936" s="44"/>
      <c r="D936" s="44"/>
      <c r="E936" s="55" t="s">
        <v>60</v>
      </c>
      <c r="F936" s="52"/>
      <c r="G936" s="54"/>
      <c r="H936" s="41"/>
      <c r="I936" s="37"/>
      <c r="J936" s="51"/>
      <c r="K936" s="56"/>
      <c r="L936" s="56">
        <f>SUM(K927:K935)</f>
        <v>0</v>
      </c>
      <c r="M936" s="150"/>
    </row>
    <row r="937" spans="1:13" x14ac:dyDescent="0.2">
      <c r="A937" s="36" t="str">
        <f>IF(F937&lt;&gt;"",1+MAX($A$1:A936),"")</f>
        <v/>
      </c>
      <c r="B937" s="58"/>
      <c r="C937" s="59"/>
      <c r="D937" s="59" t="s">
        <v>64</v>
      </c>
      <c r="E937" s="60" t="s">
        <v>65</v>
      </c>
      <c r="F937" s="40"/>
      <c r="G937" s="40"/>
      <c r="H937" s="40"/>
      <c r="I937" s="40"/>
      <c r="J937" s="40"/>
      <c r="K937" s="40"/>
      <c r="L937" s="40"/>
      <c r="M937" s="153"/>
    </row>
    <row r="938" spans="1:13" s="13" customFormat="1" x14ac:dyDescent="0.2">
      <c r="A938" s="36" t="str">
        <f>IF(F938&lt;&gt;"",1+MAX($A$1:A937),"")</f>
        <v/>
      </c>
      <c r="B938" s="37"/>
      <c r="C938" s="44"/>
      <c r="D938" s="39"/>
      <c r="E938" s="39" t="s">
        <v>76</v>
      </c>
      <c r="F938" s="40"/>
      <c r="G938" s="40"/>
      <c r="H938" s="41"/>
      <c r="I938" s="37"/>
      <c r="J938" s="42"/>
      <c r="K938" s="43"/>
      <c r="L938" s="43"/>
      <c r="M938" s="150"/>
    </row>
    <row r="939" spans="1:13" s="13" customFormat="1" x14ac:dyDescent="0.2">
      <c r="A939" s="36" t="str">
        <f>IF(F939&lt;&gt;"",1+MAX($A$1:A938),"")</f>
        <v/>
      </c>
      <c r="B939" s="44"/>
      <c r="C939" s="44"/>
      <c r="D939" s="85"/>
      <c r="E939" s="88" t="s">
        <v>66</v>
      </c>
      <c r="F939" s="47"/>
      <c r="G939" s="48"/>
      <c r="H939" s="49"/>
      <c r="I939" s="38"/>
      <c r="J939" s="79"/>
      <c r="K939" s="51"/>
      <c r="L939" s="43"/>
      <c r="M939" s="150"/>
    </row>
    <row r="940" spans="1:13" s="13" customFormat="1" ht="31.5" x14ac:dyDescent="0.2">
      <c r="A940" s="36">
        <f>IF(F940&lt;&gt;"",1+MAX($A$1:A939),"")</f>
        <v>472</v>
      </c>
      <c r="B940" s="44" t="s">
        <v>82</v>
      </c>
      <c r="C940" s="44"/>
      <c r="D940" s="45"/>
      <c r="E940" s="24" t="s">
        <v>78</v>
      </c>
      <c r="F940" s="47">
        <f>294+123.8*0.334</f>
        <v>335.3492</v>
      </c>
      <c r="G940" s="48">
        <v>0.1</v>
      </c>
      <c r="H940" s="49">
        <f t="shared" ref="H940:H941" si="259">F940*(1+G940)</f>
        <v>368.88412000000005</v>
      </c>
      <c r="I940" s="38" t="s">
        <v>16</v>
      </c>
      <c r="J940" s="53">
        <v>0</v>
      </c>
      <c r="K940" s="51">
        <f t="shared" ref="K940:K941" si="260">J940*H940</f>
        <v>0</v>
      </c>
      <c r="L940" s="43"/>
      <c r="M940" s="150"/>
    </row>
    <row r="941" spans="1:13" s="13" customFormat="1" ht="31.5" x14ac:dyDescent="0.2">
      <c r="A941" s="36">
        <f>IF(F941&lt;&gt;"",1+MAX($A$1:A940),"")</f>
        <v>473</v>
      </c>
      <c r="B941" s="44" t="s">
        <v>82</v>
      </c>
      <c r="C941" s="44"/>
      <c r="D941" s="45"/>
      <c r="E941" s="24" t="s">
        <v>79</v>
      </c>
      <c r="F941" s="47">
        <f>57+32.8*0.334</f>
        <v>67.955200000000005</v>
      </c>
      <c r="G941" s="48">
        <v>0.1</v>
      </c>
      <c r="H941" s="49">
        <f t="shared" si="259"/>
        <v>74.750720000000015</v>
      </c>
      <c r="I941" s="38" t="s">
        <v>16</v>
      </c>
      <c r="J941" s="50">
        <f>J$940</f>
        <v>0</v>
      </c>
      <c r="K941" s="51">
        <f t="shared" si="260"/>
        <v>0</v>
      </c>
      <c r="L941" s="43"/>
      <c r="M941" s="150"/>
    </row>
    <row r="942" spans="1:13" s="13" customFormat="1" x14ac:dyDescent="0.2">
      <c r="A942" s="36" t="str">
        <f>IF(F942&lt;&gt;"",1+MAX($A$1:A941),"")</f>
        <v/>
      </c>
      <c r="B942" s="44"/>
      <c r="C942" s="44"/>
      <c r="D942" s="85"/>
      <c r="E942" s="88" t="s">
        <v>69</v>
      </c>
      <c r="F942" s="47"/>
      <c r="G942" s="48"/>
      <c r="H942" s="49"/>
      <c r="I942" s="38"/>
      <c r="J942" s="79"/>
      <c r="K942" s="51"/>
      <c r="L942" s="43"/>
      <c r="M942" s="150"/>
    </row>
    <row r="943" spans="1:13" s="13" customFormat="1" x14ac:dyDescent="0.2">
      <c r="A943" s="36">
        <f>IF(F943&lt;&gt;"",1+MAX($A$1:A942),"")</f>
        <v>474</v>
      </c>
      <c r="B943" s="44" t="s">
        <v>82</v>
      </c>
      <c r="C943" s="44"/>
      <c r="D943" s="85"/>
      <c r="E943" s="24" t="s">
        <v>70</v>
      </c>
      <c r="F943" s="47">
        <f>123.8</f>
        <v>123.8</v>
      </c>
      <c r="G943" s="48">
        <v>0.1</v>
      </c>
      <c r="H943" s="49">
        <f t="shared" ref="H943:H944" si="261">F943*(1+G943)</f>
        <v>136.18</v>
      </c>
      <c r="I943" s="38" t="s">
        <v>13</v>
      </c>
      <c r="J943" s="53">
        <v>0</v>
      </c>
      <c r="K943" s="51">
        <f t="shared" ref="K943:K944" si="262">J943*H943</f>
        <v>0</v>
      </c>
      <c r="L943" s="43"/>
      <c r="M943" s="150"/>
    </row>
    <row r="944" spans="1:13" s="13" customFormat="1" x14ac:dyDescent="0.2">
      <c r="A944" s="36">
        <f>IF(F944&lt;&gt;"",1+MAX($A$1:A943),"")</f>
        <v>475</v>
      </c>
      <c r="B944" s="44" t="s">
        <v>82</v>
      </c>
      <c r="C944" s="44"/>
      <c r="D944" s="85"/>
      <c r="E944" s="24" t="s">
        <v>71</v>
      </c>
      <c r="F944" s="47">
        <f>105.5</f>
        <v>105.5</v>
      </c>
      <c r="G944" s="48">
        <v>0.1</v>
      </c>
      <c r="H944" s="49">
        <f t="shared" si="261"/>
        <v>116.05000000000001</v>
      </c>
      <c r="I944" s="38" t="s">
        <v>13</v>
      </c>
      <c r="J944" s="53">
        <v>0</v>
      </c>
      <c r="K944" s="51">
        <f t="shared" si="262"/>
        <v>0</v>
      </c>
      <c r="L944" s="43"/>
      <c r="M944" s="150"/>
    </row>
    <row r="945" spans="1:13" s="13" customFormat="1" x14ac:dyDescent="0.2">
      <c r="A945" s="36" t="str">
        <f>IF(F945&lt;&gt;"",1+MAX($A$1:A944),"")</f>
        <v/>
      </c>
      <c r="B945" s="44"/>
      <c r="C945" s="44"/>
      <c r="D945" s="85"/>
      <c r="E945" s="88" t="s">
        <v>81</v>
      </c>
      <c r="F945" s="47"/>
      <c r="G945" s="48"/>
      <c r="H945" s="49"/>
      <c r="I945" s="38"/>
      <c r="J945" s="79"/>
      <c r="K945" s="51"/>
      <c r="L945" s="43"/>
      <c r="M945" s="150"/>
    </row>
    <row r="946" spans="1:13" s="13" customFormat="1" x14ac:dyDescent="0.2">
      <c r="A946" s="36">
        <f>IF(F946&lt;&gt;"",1+MAX($A$1:A945),"")</f>
        <v>476</v>
      </c>
      <c r="B946" s="44" t="s">
        <v>82</v>
      </c>
      <c r="C946" s="44"/>
      <c r="D946" s="85"/>
      <c r="E946" s="24" t="s">
        <v>80</v>
      </c>
      <c r="F946" s="47">
        <f>32.8</f>
        <v>32.799999999999997</v>
      </c>
      <c r="G946" s="48">
        <v>0.1</v>
      </c>
      <c r="H946" s="49">
        <f t="shared" ref="H946" si="263">F946*(1+G946)</f>
        <v>36.08</v>
      </c>
      <c r="I946" s="38" t="s">
        <v>13</v>
      </c>
      <c r="J946" s="53">
        <v>0</v>
      </c>
      <c r="K946" s="51">
        <f t="shared" ref="K946" si="264">J946*H946</f>
        <v>0</v>
      </c>
      <c r="L946" s="43"/>
      <c r="M946" s="150"/>
    </row>
    <row r="947" spans="1:13" s="13" customFormat="1" x14ac:dyDescent="0.2">
      <c r="A947" s="36" t="str">
        <f>IF(F947&lt;&gt;"",1+MAX($A$1:A946),"")</f>
        <v/>
      </c>
      <c r="B947" s="44"/>
      <c r="C947" s="44"/>
      <c r="D947" s="85"/>
      <c r="E947" s="88" t="s">
        <v>74</v>
      </c>
      <c r="F947" s="47"/>
      <c r="G947" s="48"/>
      <c r="H947" s="49"/>
      <c r="I947" s="38"/>
      <c r="J947" s="79"/>
      <c r="K947" s="51"/>
      <c r="L947" s="43"/>
      <c r="M947" s="150"/>
    </row>
    <row r="948" spans="1:13" s="13" customFormat="1" x14ac:dyDescent="0.2">
      <c r="A948" s="36">
        <f>IF(F948&lt;&gt;"",1+MAX($A$1:A947),"")</f>
        <v>477</v>
      </c>
      <c r="B948" s="44" t="s">
        <v>82</v>
      </c>
      <c r="C948" s="44"/>
      <c r="D948" s="85"/>
      <c r="E948" s="24" t="s">
        <v>72</v>
      </c>
      <c r="F948" s="47">
        <f>71.2</f>
        <v>71.2</v>
      </c>
      <c r="G948" s="48">
        <v>0.1</v>
      </c>
      <c r="H948" s="49">
        <f t="shared" ref="H948:H949" si="265">F948*(1+G948)</f>
        <v>78.320000000000007</v>
      </c>
      <c r="I948" s="38" t="s">
        <v>13</v>
      </c>
      <c r="J948" s="53">
        <v>0</v>
      </c>
      <c r="K948" s="51">
        <f t="shared" ref="K948:K949" si="266">J948*H948</f>
        <v>0</v>
      </c>
      <c r="L948" s="43"/>
      <c r="M948" s="150"/>
    </row>
    <row r="949" spans="1:13" s="13" customFormat="1" x14ac:dyDescent="0.2">
      <c r="A949" s="36">
        <f>IF(F949&lt;&gt;"",1+MAX($A$1:A948),"")</f>
        <v>478</v>
      </c>
      <c r="B949" s="44" t="s">
        <v>82</v>
      </c>
      <c r="C949" s="44"/>
      <c r="D949" s="85"/>
      <c r="E949" s="24" t="s">
        <v>75</v>
      </c>
      <c r="F949" s="47">
        <f>112</f>
        <v>112</v>
      </c>
      <c r="G949" s="48">
        <v>0.1</v>
      </c>
      <c r="H949" s="49">
        <f t="shared" si="265"/>
        <v>123.20000000000002</v>
      </c>
      <c r="I949" s="38" t="s">
        <v>13</v>
      </c>
      <c r="J949" s="53">
        <v>0</v>
      </c>
      <c r="K949" s="51">
        <f t="shared" si="266"/>
        <v>0</v>
      </c>
      <c r="L949" s="43"/>
      <c r="M949" s="150"/>
    </row>
    <row r="950" spans="1:13" s="13" customFormat="1" x14ac:dyDescent="0.2">
      <c r="A950" s="36">
        <f>IF(F950&lt;&gt;"",1+MAX($A$1:A949),"")</f>
        <v>479</v>
      </c>
      <c r="B950" s="44" t="s">
        <v>82</v>
      </c>
      <c r="C950" s="44"/>
      <c r="D950" s="85"/>
      <c r="E950" s="24" t="s">
        <v>363</v>
      </c>
      <c r="F950" s="47">
        <f>3.7*5</f>
        <v>18.5</v>
      </c>
      <c r="G950" s="48">
        <v>0.1</v>
      </c>
      <c r="H950" s="49">
        <f t="shared" ref="H950" si="267">F950*(1+G950)</f>
        <v>20.350000000000001</v>
      </c>
      <c r="I950" s="38" t="s">
        <v>13</v>
      </c>
      <c r="J950" s="53">
        <v>0</v>
      </c>
      <c r="K950" s="51">
        <f t="shared" ref="K950" si="268">J950*H950</f>
        <v>0</v>
      </c>
      <c r="L950" s="43"/>
      <c r="M950" s="150"/>
    </row>
    <row r="951" spans="1:13" s="13" customFormat="1" x14ac:dyDescent="0.2">
      <c r="A951" s="36"/>
      <c r="B951" s="44"/>
      <c r="C951" s="44"/>
      <c r="D951" s="85"/>
      <c r="E951" s="24"/>
      <c r="F951" s="47"/>
      <c r="G951" s="48"/>
      <c r="H951" s="49"/>
      <c r="I951" s="38"/>
      <c r="J951" s="53"/>
      <c r="K951" s="51"/>
      <c r="L951" s="43"/>
      <c r="M951" s="150"/>
    </row>
    <row r="952" spans="1:13" s="13" customFormat="1" x14ac:dyDescent="0.2">
      <c r="A952" s="36" t="str">
        <f>IF(F952&lt;&gt;"",1+MAX($A$1:A951),"")</f>
        <v/>
      </c>
      <c r="B952" s="38"/>
      <c r="C952" s="44"/>
      <c r="D952" s="44"/>
      <c r="E952" s="55" t="s">
        <v>77</v>
      </c>
      <c r="F952" s="52"/>
      <c r="G952" s="54"/>
      <c r="H952" s="41"/>
      <c r="I952" s="37"/>
      <c r="J952" s="51"/>
      <c r="K952" s="56"/>
      <c r="L952" s="56">
        <f>SUM(K938:K951)</f>
        <v>0</v>
      </c>
      <c r="M952" s="150"/>
    </row>
    <row r="953" spans="1:13" s="13" customFormat="1" x14ac:dyDescent="0.2">
      <c r="A953" s="36"/>
      <c r="B953" s="38"/>
      <c r="C953" s="44"/>
      <c r="D953" s="44"/>
      <c r="E953" s="55"/>
      <c r="F953" s="52"/>
      <c r="G953" s="54"/>
      <c r="H953" s="41"/>
      <c r="I953" s="37"/>
      <c r="J953" s="51"/>
      <c r="K953" s="56"/>
      <c r="L953" s="56"/>
      <c r="M953" s="150"/>
    </row>
    <row r="954" spans="1:13" x14ac:dyDescent="0.2">
      <c r="A954" s="36" t="str">
        <f>IF(F954&lt;&gt;"",1+MAX($A$1:A953),"")</f>
        <v/>
      </c>
      <c r="B954" s="58"/>
      <c r="C954" s="59"/>
      <c r="D954" s="59" t="s">
        <v>349</v>
      </c>
      <c r="E954" s="60" t="s">
        <v>350</v>
      </c>
      <c r="F954" s="40"/>
      <c r="G954" s="40"/>
      <c r="H954" s="40"/>
      <c r="I954" s="40"/>
      <c r="J954" s="40"/>
      <c r="K954" s="40"/>
      <c r="L954" s="40"/>
      <c r="M954" s="153"/>
    </row>
    <row r="955" spans="1:13" s="13" customFormat="1" x14ac:dyDescent="0.2">
      <c r="A955" s="36" t="str">
        <f>IF(F955&lt;&gt;"",1+MAX($A$1:A954),"")</f>
        <v/>
      </c>
      <c r="B955" s="37"/>
      <c r="C955" s="44"/>
      <c r="D955" s="39"/>
      <c r="E955" s="39" t="s">
        <v>348</v>
      </c>
      <c r="F955" s="40"/>
      <c r="G955" s="40"/>
      <c r="H955" s="41"/>
      <c r="I955" s="37"/>
      <c r="J955" s="42"/>
      <c r="K955" s="43"/>
      <c r="L955" s="43"/>
      <c r="M955" s="150"/>
    </row>
    <row r="956" spans="1:13" s="13" customFormat="1" ht="310.5" customHeight="1" x14ac:dyDescent="0.2">
      <c r="A956" s="36">
        <f>IF(F956&lt;&gt;"",1+MAX($A$1:A955),"")</f>
        <v>480</v>
      </c>
      <c r="B956" s="44" t="s">
        <v>82</v>
      </c>
      <c r="C956" s="44"/>
      <c r="D956" s="45"/>
      <c r="E956" s="24" t="s">
        <v>472</v>
      </c>
      <c r="F956" s="47">
        <v>1</v>
      </c>
      <c r="G956" s="48">
        <v>0</v>
      </c>
      <c r="H956" s="49">
        <f t="shared" ref="H956" si="269">F956*(1+G956)</f>
        <v>1</v>
      </c>
      <c r="I956" s="38" t="s">
        <v>18</v>
      </c>
      <c r="J956" s="50">
        <v>0</v>
      </c>
      <c r="K956" s="51">
        <f t="shared" ref="K956" si="270">J956*H956</f>
        <v>0</v>
      </c>
      <c r="L956" s="43"/>
      <c r="M956" s="150"/>
    </row>
    <row r="957" spans="1:13" s="13" customFormat="1" x14ac:dyDescent="0.2">
      <c r="A957" s="36" t="str">
        <f>IF(F957&lt;&gt;"",1+MAX($A$1:A956),"")</f>
        <v/>
      </c>
      <c r="B957" s="38"/>
      <c r="C957" s="44"/>
      <c r="D957" s="44"/>
      <c r="E957" s="40"/>
      <c r="F957" s="41"/>
      <c r="G957" s="54"/>
      <c r="H957" s="41"/>
      <c r="I957" s="37"/>
      <c r="J957" s="51"/>
      <c r="K957" s="51"/>
      <c r="L957" s="51"/>
      <c r="M957" s="150"/>
    </row>
    <row r="958" spans="1:13" s="13" customFormat="1" x14ac:dyDescent="0.2">
      <c r="A958" s="36" t="str">
        <f>IF(F958&lt;&gt;"",1+MAX($A$1:A957),"")</f>
        <v/>
      </c>
      <c r="B958" s="38"/>
      <c r="C958" s="44"/>
      <c r="D958" s="44"/>
      <c r="E958" s="55" t="s">
        <v>351</v>
      </c>
      <c r="F958" s="52"/>
      <c r="G958" s="54"/>
      <c r="H958" s="41"/>
      <c r="I958" s="37"/>
      <c r="J958" s="51"/>
      <c r="K958" s="56"/>
      <c r="L958" s="56">
        <f>SUM(K955:K957)</f>
        <v>0</v>
      </c>
      <c r="M958" s="150"/>
    </row>
    <row r="959" spans="1:13" s="13" customFormat="1" x14ac:dyDescent="0.2">
      <c r="A959" s="36" t="str">
        <f>IF(F959&lt;&gt;"",1+MAX($A$1:A958),"")</f>
        <v/>
      </c>
      <c r="B959" s="38"/>
      <c r="C959" s="44"/>
      <c r="D959" s="44"/>
      <c r="E959" s="55"/>
      <c r="F959" s="47"/>
      <c r="G959" s="87"/>
      <c r="H959" s="49"/>
      <c r="I959" s="38"/>
      <c r="J959" s="53"/>
      <c r="K959" s="51"/>
      <c r="L959" s="43"/>
      <c r="M959" s="150"/>
    </row>
    <row r="960" spans="1:13" s="13" customFormat="1" x14ac:dyDescent="0.2">
      <c r="A960" s="36" t="str">
        <f>IF(F960&lt;&gt;"",1+MAX($A$1:A959),"")</f>
        <v/>
      </c>
      <c r="B960" s="37"/>
      <c r="C960" s="44"/>
      <c r="D960" s="39"/>
      <c r="E960" s="39" t="s">
        <v>406</v>
      </c>
      <c r="F960" s="40"/>
      <c r="G960" s="40"/>
      <c r="H960" s="41"/>
      <c r="I960" s="37"/>
      <c r="J960" s="42"/>
      <c r="K960" s="43"/>
      <c r="L960" s="43"/>
      <c r="M960" s="150"/>
    </row>
    <row r="961" spans="1:13" s="13" customFormat="1" ht="31.5" x14ac:dyDescent="0.2">
      <c r="A961" s="36">
        <f>IF(F961&lt;&gt;"",1+MAX($A$1:A960),"")</f>
        <v>481</v>
      </c>
      <c r="B961" s="44" t="s">
        <v>82</v>
      </c>
      <c r="C961" s="44"/>
      <c r="D961" s="45"/>
      <c r="E961" s="55" t="s">
        <v>473</v>
      </c>
      <c r="F961" s="47">
        <v>3</v>
      </c>
      <c r="G961" s="48">
        <v>0</v>
      </c>
      <c r="H961" s="49">
        <f t="shared" ref="H961" si="271">F961*(1+G961)</f>
        <v>3</v>
      </c>
      <c r="I961" s="38" t="s">
        <v>18</v>
      </c>
      <c r="J961" s="50">
        <v>0</v>
      </c>
      <c r="K961" s="51">
        <f t="shared" ref="K961" si="272">J961*H961</f>
        <v>0</v>
      </c>
      <c r="L961" s="43"/>
      <c r="M961" s="150"/>
    </row>
    <row r="962" spans="1:13" s="13" customFormat="1" x14ac:dyDescent="0.2">
      <c r="A962" s="36"/>
      <c r="B962" s="44"/>
      <c r="C962" s="44"/>
      <c r="D962" s="45"/>
      <c r="E962" s="55"/>
      <c r="F962" s="47"/>
      <c r="G962" s="48"/>
      <c r="H962" s="49"/>
      <c r="I962" s="38"/>
      <c r="J962" s="50"/>
      <c r="K962" s="51"/>
      <c r="L962" s="43"/>
      <c r="M962" s="150"/>
    </row>
    <row r="963" spans="1:13" s="13" customFormat="1" x14ac:dyDescent="0.2">
      <c r="A963" s="36" t="str">
        <f>IF(F963&lt;&gt;"",1+MAX($A$1:A961),"")</f>
        <v/>
      </c>
      <c r="B963" s="38"/>
      <c r="C963" s="44"/>
      <c r="D963" s="44"/>
      <c r="E963" s="40"/>
      <c r="F963" s="41"/>
      <c r="G963" s="54"/>
      <c r="H963" s="41"/>
      <c r="I963" s="37"/>
      <c r="J963" s="51"/>
      <c r="K963" s="51"/>
      <c r="L963" s="51"/>
      <c r="M963" s="150"/>
    </row>
    <row r="964" spans="1:13" s="13" customFormat="1" x14ac:dyDescent="0.2">
      <c r="A964" s="36" t="str">
        <f>IF(F964&lt;&gt;"",1+MAX($A$1:A963),"")</f>
        <v/>
      </c>
      <c r="B964" s="38"/>
      <c r="C964" s="44"/>
      <c r="D964" s="44"/>
      <c r="E964" s="55" t="s">
        <v>407</v>
      </c>
      <c r="F964" s="52"/>
      <c r="G964" s="54"/>
      <c r="H964" s="41"/>
      <c r="I964" s="37"/>
      <c r="J964" s="51"/>
      <c r="K964" s="56"/>
      <c r="L964" s="56">
        <f>SUM(K960:K963)</f>
        <v>0</v>
      </c>
      <c r="M964" s="150"/>
    </row>
    <row r="965" spans="1:13" s="13" customFormat="1" x14ac:dyDescent="0.2">
      <c r="A965" s="36" t="str">
        <f>IF(F965&lt;&gt;"",1+MAX($A$1:A964),"")</f>
        <v/>
      </c>
      <c r="B965" s="38"/>
      <c r="C965" s="44"/>
      <c r="D965" s="44"/>
      <c r="E965" s="55"/>
      <c r="F965" s="47"/>
      <c r="G965" s="87"/>
      <c r="H965" s="49"/>
      <c r="I965" s="38"/>
      <c r="J965" s="53"/>
      <c r="K965" s="51"/>
      <c r="L965" s="43"/>
      <c r="M965" s="150"/>
    </row>
    <row r="966" spans="1:13" s="19" customFormat="1" x14ac:dyDescent="0.2">
      <c r="A966" s="106" t="s">
        <v>12</v>
      </c>
      <c r="B966" s="107"/>
      <c r="C966" s="108"/>
      <c r="D966" s="108"/>
      <c r="E966" s="109"/>
      <c r="F966" s="110"/>
      <c r="G966" s="111"/>
      <c r="H966" s="111"/>
      <c r="I966" s="112"/>
      <c r="J966" s="113"/>
      <c r="K966" s="114">
        <f>(SUM(K6:K965))/1</f>
        <v>0</v>
      </c>
      <c r="L966" s="135">
        <f>SUM(L6:L965)</f>
        <v>0</v>
      </c>
      <c r="M966" s="136"/>
    </row>
    <row r="967" spans="1:13" x14ac:dyDescent="0.2">
      <c r="A967" s="115" t="s">
        <v>33</v>
      </c>
      <c r="B967" s="116"/>
      <c r="C967" s="117"/>
      <c r="D967" s="117"/>
      <c r="E967" s="118"/>
      <c r="F967" s="119"/>
      <c r="G967" s="120"/>
      <c r="H967" s="120"/>
      <c r="I967" s="121"/>
      <c r="J967" s="122">
        <v>0.2</v>
      </c>
      <c r="K967" s="123">
        <f>J967*K966</f>
        <v>0</v>
      </c>
      <c r="L967" s="147">
        <f>L966*J967</f>
        <v>0</v>
      </c>
      <c r="M967" s="148"/>
    </row>
    <row r="968" spans="1:13" s="19" customFormat="1" ht="16.5" thickBot="1" x14ac:dyDescent="0.25">
      <c r="A968" s="124" t="s">
        <v>34</v>
      </c>
      <c r="B968" s="125"/>
      <c r="C968" s="126"/>
      <c r="D968" s="126"/>
      <c r="E968" s="127"/>
      <c r="F968" s="128"/>
      <c r="G968" s="129"/>
      <c r="H968" s="130"/>
      <c r="I968" s="126"/>
      <c r="J968" s="131"/>
      <c r="K968" s="132">
        <f>SUM(K966:K967)</f>
        <v>0</v>
      </c>
      <c r="L968" s="132">
        <f>SUM(L966:L967)</f>
        <v>0</v>
      </c>
      <c r="M968" s="137"/>
    </row>
  </sheetData>
  <mergeCells count="5">
    <mergeCell ref="A1:M1"/>
    <mergeCell ref="A2:L2"/>
    <mergeCell ref="F4:L4"/>
    <mergeCell ref="F3:L3"/>
    <mergeCell ref="F5:K5"/>
  </mergeCells>
  <pageMargins left="0.25" right="0.25" top="0.75" bottom="0.75" header="0.3" footer="0.3"/>
  <pageSetup scale="52" fitToHeight="0" orientation="landscape" r:id="rId1"/>
  <headerFooter>
    <oddHeader>&amp;C
&amp;G</oddHeader>
    <oddFooter>&amp;C&amp;P of &amp;N</oddFooter>
  </headerFooter>
  <rowBreaks count="2" manualBreakCount="2">
    <brk id="898" max="12" man="1"/>
    <brk id="935" max="12" man="1"/>
  </rowBreaks>
  <ignoredErrors>
    <ignoredError sqref="E481:E482 K797:L797 K798 K799:L799 H797:I799 L5 G779:I779 G481:K482 F6:G6 H6:I6 K6:L6 H780:I780 H785:I785 H967:L968 H966:J966 L966 K779:L785 F282 F311:F315 F267:F268 F279:F280 F291:F296 F301:F302 F264:F265 F270:F271 F273:F274 F285:F289 F308:F309 F276:F277" formula="1"/>
  </ignoredErrors>
  <drawing r:id="rId2"/>
  <legacyDrawingHF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4ABE80B-7EF6-444E-8C0F-EADD4C563A30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DETAILED ESTIMATE</vt:lpstr>
      <vt:lpstr>'DETAILED ESTIMATE'!Print_Area</vt:lpstr>
      <vt:lpstr>'DETAILED ESTIMATE'!Print_Titles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2013-07-08T09:36:48Z</dcterms:created>
  <dcterms:modified xsi:type="dcterms:W3CDTF">2026-05-07T17:11:16Z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{64ABE80B-7EF6-444E-8C0F-EADD4C563A30}</vt:lpwstr>
  </property>
</Properties>
</file>