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filterPrivacy="1" codeName="ThisWorkbook" defaultThemeVersion="124226"/>
  <xr:revisionPtr revIDLastSave="195" documentId="13_ncr:1_{CA5A0DC1-25EF-4710-9610-680B00C30048}" xr6:coauthVersionLast="47" xr6:coauthVersionMax="47" xr10:uidLastSave="{73BD7343-AF72-48BF-9DDA-E16F4CF4AB4F}"/>
  <bookViews>
    <workbookView xWindow="20370" yWindow="-120" windowWidth="29040" windowHeight="15840" xr2:uid="{00000000-000D-0000-FFFF-FFFF00000000}"/>
  </bookViews>
  <sheets>
    <sheet name="STRUCTURAL STEEL" sheetId="13" r:id="rId1"/>
  </sheets>
  <definedNames>
    <definedName name="_xlnm._FilterDatabase" localSheetId="0" hidden="1">'STRUCTURAL STEEL'!$J$1:$J$236</definedName>
    <definedName name="_xlnm.Print_Area" localSheetId="0">'STRUCTURAL STEEL'!$A$1:$L$291</definedName>
    <definedName name="_xlnm.Print_Titles" localSheetId="0">'STRUCTURAL STEEL'!$1:$6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87" i="13" l="1"/>
  <c r="A286" i="13"/>
  <c r="A285" i="13"/>
  <c r="A284" i="13"/>
  <c r="H283" i="13"/>
  <c r="K283" i="13" s="1"/>
  <c r="A282" i="13"/>
  <c r="F281" i="13"/>
  <c r="F280" i="13"/>
  <c r="A279" i="13"/>
  <c r="A278" i="13"/>
  <c r="A277" i="13"/>
  <c r="H276" i="13"/>
  <c r="K276" i="13" s="1"/>
  <c r="H275" i="13"/>
  <c r="K275" i="13" s="1"/>
  <c r="H274" i="13"/>
  <c r="K274" i="13" s="1"/>
  <c r="H273" i="13"/>
  <c r="K273" i="13" s="1"/>
  <c r="H272" i="13"/>
  <c r="K272" i="13" s="1"/>
  <c r="A271" i="13"/>
  <c r="A270" i="13"/>
  <c r="H269" i="13"/>
  <c r="K269" i="13" s="1"/>
  <c r="H268" i="13"/>
  <c r="K268" i="13" s="1"/>
  <c r="K267" i="13"/>
  <c r="H267" i="13"/>
  <c r="H266" i="13"/>
  <c r="K266" i="13" s="1"/>
  <c r="H265" i="13"/>
  <c r="K265" i="13" s="1"/>
  <c r="H264" i="13"/>
  <c r="K264" i="13" s="1"/>
  <c r="H263" i="13"/>
  <c r="K263" i="13" s="1"/>
  <c r="H262" i="13"/>
  <c r="K262" i="13" s="1"/>
  <c r="A261" i="13"/>
  <c r="A260" i="13"/>
  <c r="H259" i="13"/>
  <c r="K259" i="13" s="1"/>
  <c r="H258" i="13"/>
  <c r="K258" i="13" s="1"/>
  <c r="H257" i="13"/>
  <c r="K257" i="13" s="1"/>
  <c r="H256" i="13"/>
  <c r="K256" i="13" s="1"/>
  <c r="H255" i="13"/>
  <c r="K255" i="13" s="1"/>
  <c r="H254" i="13"/>
  <c r="K254" i="13" s="1"/>
  <c r="A253" i="13"/>
  <c r="A252" i="13"/>
  <c r="F251" i="13"/>
  <c r="H251" i="13" s="1"/>
  <c r="K251" i="13" s="1"/>
  <c r="A250" i="13"/>
  <c r="A249" i="13"/>
  <c r="F248" i="13"/>
  <c r="A247" i="13"/>
  <c r="H246" i="13"/>
  <c r="K246" i="13" s="1"/>
  <c r="F245" i="13"/>
  <c r="H244" i="13"/>
  <c r="K244" i="13" s="1"/>
  <c r="F243" i="13"/>
  <c r="H243" i="13" s="1"/>
  <c r="K243" i="13" s="1"/>
  <c r="H242" i="13"/>
  <c r="K242" i="13" s="1"/>
  <c r="H241" i="13"/>
  <c r="K241" i="13" s="1"/>
  <c r="H240" i="13"/>
  <c r="K240" i="13" s="1"/>
  <c r="H239" i="13"/>
  <c r="K239" i="13" s="1"/>
  <c r="A238" i="13"/>
  <c r="A237" i="13"/>
  <c r="J175" i="13"/>
  <c r="F175" i="13"/>
  <c r="J174" i="13"/>
  <c r="F174" i="13"/>
  <c r="H174" i="13" s="1"/>
  <c r="A239" i="13" l="1"/>
  <c r="A240" i="13" s="1"/>
  <c r="A241" i="13" s="1"/>
  <c r="H280" i="13"/>
  <c r="K280" i="13" s="1"/>
  <c r="H281" i="13"/>
  <c r="K281" i="13" s="1"/>
  <c r="H245" i="13"/>
  <c r="K245" i="13" s="1"/>
  <c r="H248" i="13"/>
  <c r="K248" i="13" s="1"/>
  <c r="K174" i="13"/>
  <c r="H175" i="13"/>
  <c r="K175" i="13" s="1"/>
  <c r="K288" i="13" l="1"/>
  <c r="K289" i="13" s="1"/>
  <c r="A242" i="13"/>
  <c r="A243" i="13" s="1"/>
  <c r="L285" i="13"/>
  <c r="L288" i="13" s="1"/>
  <c r="K291" i="13" l="1"/>
  <c r="K290" i="13"/>
  <c r="L289" i="13"/>
  <c r="L290" i="13"/>
  <c r="A244" i="13"/>
  <c r="L291" i="13" l="1"/>
  <c r="A245" i="13"/>
  <c r="A246" i="13" s="1"/>
  <c r="A248" i="13" s="1"/>
  <c r="A251" i="13" l="1"/>
  <c r="A254" i="13" s="1"/>
  <c r="A255" i="13" l="1"/>
  <c r="A256" i="13"/>
  <c r="A257" i="13" l="1"/>
  <c r="A258" i="13" l="1"/>
  <c r="A259" i="13" s="1"/>
  <c r="J101" i="13"/>
  <c r="J102" i="13"/>
  <c r="J105" i="13"/>
  <c r="J106" i="13"/>
  <c r="J107" i="13"/>
  <c r="J198" i="13"/>
  <c r="J215" i="13"/>
  <c r="F107" i="13"/>
  <c r="J100" i="13"/>
  <c r="J98" i="13"/>
  <c r="J183" i="13"/>
  <c r="J97" i="13"/>
  <c r="J11" i="13"/>
  <c r="J12" i="13"/>
  <c r="J13" i="13"/>
  <c r="J14" i="13"/>
  <c r="J15" i="13"/>
  <c r="J16" i="13"/>
  <c r="J17" i="13"/>
  <c r="J18" i="13"/>
  <c r="J27" i="13"/>
  <c r="J28" i="13"/>
  <c r="J29" i="13"/>
  <c r="J30" i="13"/>
  <c r="J31" i="13"/>
  <c r="J32" i="13"/>
  <c r="J33" i="13"/>
  <c r="J34" i="13"/>
  <c r="J35" i="13"/>
  <c r="J46" i="13"/>
  <c r="J47" i="13"/>
  <c r="J48" i="13"/>
  <c r="J49" i="13"/>
  <c r="J50" i="13"/>
  <c r="J51" i="13"/>
  <c r="J52" i="13"/>
  <c r="J53" i="13"/>
  <c r="J54" i="13"/>
  <c r="J55" i="13"/>
  <c r="J56" i="13"/>
  <c r="J57" i="13"/>
  <c r="J58" i="13"/>
  <c r="J59" i="13"/>
  <c r="J60" i="13"/>
  <c r="J61" i="13"/>
  <c r="J62" i="13"/>
  <c r="J63" i="13"/>
  <c r="J64" i="13"/>
  <c r="J65" i="13"/>
  <c r="J66" i="13"/>
  <c r="J67" i="13"/>
  <c r="J68" i="13"/>
  <c r="J71" i="13"/>
  <c r="J74" i="13"/>
  <c r="J75" i="13"/>
  <c r="J76" i="13"/>
  <c r="J77" i="13"/>
  <c r="J78" i="13"/>
  <c r="J85" i="13"/>
  <c r="J86" i="13"/>
  <c r="J87" i="13"/>
  <c r="J88" i="13"/>
  <c r="J89" i="13"/>
  <c r="J90" i="13"/>
  <c r="J91" i="13"/>
  <c r="J92" i="13"/>
  <c r="J93" i="13"/>
  <c r="J94" i="13"/>
  <c r="J111" i="13"/>
  <c r="J112" i="13"/>
  <c r="J113" i="13"/>
  <c r="J114" i="13"/>
  <c r="J115" i="13"/>
  <c r="J116" i="13"/>
  <c r="J117" i="13"/>
  <c r="J118" i="13"/>
  <c r="J121" i="13"/>
  <c r="J122" i="13"/>
  <c r="J125" i="13"/>
  <c r="J126" i="13"/>
  <c r="J127" i="13"/>
  <c r="J128" i="13"/>
  <c r="J129" i="13"/>
  <c r="J130" i="13"/>
  <c r="J131" i="13"/>
  <c r="J132" i="13"/>
  <c r="J133" i="13"/>
  <c r="J134" i="13"/>
  <c r="J135" i="13"/>
  <c r="J136" i="13"/>
  <c r="J137" i="13"/>
  <c r="J138" i="13"/>
  <c r="J139" i="13"/>
  <c r="J140" i="13"/>
  <c r="J141" i="13"/>
  <c r="J144" i="13"/>
  <c r="J145" i="13"/>
  <c r="J146" i="13"/>
  <c r="J147" i="13"/>
  <c r="J148" i="13"/>
  <c r="J149" i="13"/>
  <c r="J150" i="13"/>
  <c r="J151" i="13"/>
  <c r="J154" i="13"/>
  <c r="J155" i="13"/>
  <c r="J166" i="13"/>
  <c r="J167" i="13"/>
  <c r="J168" i="13"/>
  <c r="J169" i="13"/>
  <c r="J171" i="13"/>
  <c r="J172" i="13"/>
  <c r="J173" i="13"/>
  <c r="J178" i="13"/>
  <c r="J189" i="13"/>
  <c r="J190" i="13"/>
  <c r="J193" i="13"/>
  <c r="J194" i="13"/>
  <c r="J195" i="13"/>
  <c r="J202" i="13"/>
  <c r="J203" i="13"/>
  <c r="J204" i="13"/>
  <c r="J205" i="13"/>
  <c r="J226" i="13"/>
  <c r="A19" i="13"/>
  <c r="A20" i="13"/>
  <c r="A24" i="13"/>
  <c r="A25" i="13"/>
  <c r="A26" i="13"/>
  <c r="A36" i="13"/>
  <c r="A37" i="13"/>
  <c r="A44" i="13"/>
  <c r="A45" i="13"/>
  <c r="A69" i="13"/>
  <c r="A70" i="13"/>
  <c r="A72" i="13"/>
  <c r="A73" i="13"/>
  <c r="A79" i="13"/>
  <c r="A82" i="13"/>
  <c r="A83" i="13"/>
  <c r="A84" i="13"/>
  <c r="A95" i="13"/>
  <c r="A96" i="13"/>
  <c r="A108" i="13"/>
  <c r="A109" i="13"/>
  <c r="A110" i="13"/>
  <c r="A119" i="13"/>
  <c r="A123" i="13"/>
  <c r="A124" i="13"/>
  <c r="A142" i="13"/>
  <c r="A143" i="13"/>
  <c r="A152" i="13"/>
  <c r="A153" i="13"/>
  <c r="A156" i="13"/>
  <c r="A157" i="13"/>
  <c r="A164" i="13"/>
  <c r="A165" i="13"/>
  <c r="A170" i="13"/>
  <c r="A176" i="13"/>
  <c r="A177" i="13"/>
  <c r="A179" i="13"/>
  <c r="A180" i="13"/>
  <c r="A186" i="13"/>
  <c r="A187" i="13"/>
  <c r="A188" i="13"/>
  <c r="A191" i="13"/>
  <c r="A192" i="13"/>
  <c r="A196" i="13"/>
  <c r="A197" i="13"/>
  <c r="A200" i="13"/>
  <c r="A201" i="13"/>
  <c r="A206" i="13"/>
  <c r="A208" i="13"/>
  <c r="A213" i="13"/>
  <c r="A224" i="13"/>
  <c r="A230" i="13"/>
  <c r="F217" i="13"/>
  <c r="H217" i="13" s="1"/>
  <c r="K217" i="13" s="1"/>
  <c r="F218" i="13"/>
  <c r="H218" i="13" s="1"/>
  <c r="K218" i="13" s="1"/>
  <c r="F219" i="13"/>
  <c r="H219" i="13" s="1"/>
  <c r="K219" i="13" s="1"/>
  <c r="F220" i="13"/>
  <c r="H220" i="13" s="1"/>
  <c r="K220" i="13" s="1"/>
  <c r="F221" i="13"/>
  <c r="H221" i="13" s="1"/>
  <c r="K221" i="13" s="1"/>
  <c r="F215" i="13"/>
  <c r="H215" i="13" s="1"/>
  <c r="F216" i="13"/>
  <c r="H216" i="13" s="1"/>
  <c r="K216" i="13" s="1"/>
  <c r="A262" i="13" l="1"/>
  <c r="K215" i="13"/>
  <c r="F214" i="13"/>
  <c r="H214" i="13" s="1"/>
  <c r="K214" i="13" s="1"/>
  <c r="A263" i="13" l="1"/>
  <c r="F226" i="13"/>
  <c r="A264" i="13" l="1"/>
  <c r="A265" i="13" s="1"/>
  <c r="H226" i="13"/>
  <c r="K226" i="13" s="1"/>
  <c r="H225" i="13"/>
  <c r="K225" i="13" s="1"/>
  <c r="F193" i="13"/>
  <c r="F195" i="13"/>
  <c r="F194" i="13"/>
  <c r="F190" i="13"/>
  <c r="F189" i="13"/>
  <c r="H211" i="13"/>
  <c r="K211" i="13" s="1"/>
  <c r="H210" i="13"/>
  <c r="K210" i="13" s="1"/>
  <c r="H209" i="13"/>
  <c r="K209" i="13" s="1"/>
  <c r="A266" i="13" l="1"/>
  <c r="A267" i="13"/>
  <c r="A268" i="13" s="1"/>
  <c r="F205" i="13"/>
  <c r="F204" i="13"/>
  <c r="F203" i="13"/>
  <c r="A269" i="13" l="1"/>
  <c r="H205" i="13"/>
  <c r="K205" i="13" s="1"/>
  <c r="H204" i="13"/>
  <c r="K204" i="13" s="1"/>
  <c r="H203" i="13"/>
  <c r="K203" i="13" s="1"/>
  <c r="H195" i="13"/>
  <c r="K195" i="13" s="1"/>
  <c r="F202" i="13"/>
  <c r="H202" i="13" s="1"/>
  <c r="K202" i="13" s="1"/>
  <c r="H207" i="13"/>
  <c r="K207" i="13" s="1"/>
  <c r="H194" i="13"/>
  <c r="K194" i="13" s="1"/>
  <c r="F198" i="13"/>
  <c r="H198" i="13" s="1"/>
  <c r="K198" i="13" s="1"/>
  <c r="H199" i="13"/>
  <c r="K199" i="13" s="1"/>
  <c r="H193" i="13"/>
  <c r="K193" i="13" s="1"/>
  <c r="H190" i="13"/>
  <c r="K190" i="13" s="1"/>
  <c r="H189" i="13"/>
  <c r="K189" i="13" s="1"/>
  <c r="F40" i="13"/>
  <c r="H40" i="13" s="1"/>
  <c r="K40" i="13" s="1"/>
  <c r="F100" i="13"/>
  <c r="F74" i="13"/>
  <c r="F43" i="13"/>
  <c r="H43" i="13" s="1"/>
  <c r="K43" i="13" s="1"/>
  <c r="F50" i="13"/>
  <c r="H50" i="13" s="1"/>
  <c r="K50" i="13" s="1"/>
  <c r="F49" i="13"/>
  <c r="F48" i="13"/>
  <c r="F47" i="13"/>
  <c r="H47" i="13" s="1"/>
  <c r="K47" i="13" s="1"/>
  <c r="F46" i="13"/>
  <c r="H46" i="13" s="1"/>
  <c r="K46" i="13" s="1"/>
  <c r="H49" i="13"/>
  <c r="K49" i="13" s="1"/>
  <c r="F71" i="13"/>
  <c r="H71" i="13" s="1"/>
  <c r="K71" i="13" s="1"/>
  <c r="F39" i="13"/>
  <c r="F78" i="13"/>
  <c r="F77" i="13"/>
  <c r="H77" i="13" s="1"/>
  <c r="K77" i="13" s="1"/>
  <c r="F76" i="13"/>
  <c r="H76" i="13" s="1"/>
  <c r="K76" i="13" s="1"/>
  <c r="F75" i="13"/>
  <c r="H75" i="13" s="1"/>
  <c r="K75" i="13" s="1"/>
  <c r="F68" i="13"/>
  <c r="F67" i="13"/>
  <c r="H67" i="13" s="1"/>
  <c r="K67" i="13" s="1"/>
  <c r="F66" i="13"/>
  <c r="H66" i="13" s="1"/>
  <c r="K66" i="13" s="1"/>
  <c r="F65" i="13"/>
  <c r="H65" i="13" s="1"/>
  <c r="K65" i="13" s="1"/>
  <c r="F64" i="13"/>
  <c r="H64" i="13" s="1"/>
  <c r="K64" i="13" s="1"/>
  <c r="F63" i="13"/>
  <c r="F62" i="13"/>
  <c r="F61" i="13"/>
  <c r="H61" i="13" s="1"/>
  <c r="K61" i="13" s="1"/>
  <c r="F60" i="13"/>
  <c r="H60" i="13" s="1"/>
  <c r="K60" i="13" s="1"/>
  <c r="F59" i="13"/>
  <c r="H59" i="13" s="1"/>
  <c r="K59" i="13" s="1"/>
  <c r="F58" i="13"/>
  <c r="H58" i="13" s="1"/>
  <c r="K58" i="13" s="1"/>
  <c r="F57" i="13"/>
  <c r="H57" i="13" s="1"/>
  <c r="K57" i="13" s="1"/>
  <c r="F56" i="13"/>
  <c r="H56" i="13" s="1"/>
  <c r="K56" i="13" s="1"/>
  <c r="F55" i="13"/>
  <c r="H55" i="13" s="1"/>
  <c r="K55" i="13" s="1"/>
  <c r="F54" i="13"/>
  <c r="H54" i="13" s="1"/>
  <c r="K54" i="13" s="1"/>
  <c r="F53" i="13"/>
  <c r="H53" i="13" s="1"/>
  <c r="K53" i="13" s="1"/>
  <c r="F52" i="13"/>
  <c r="F51" i="13"/>
  <c r="H51" i="13" s="1"/>
  <c r="K51" i="13" s="1"/>
  <c r="H48" i="13"/>
  <c r="K48" i="13" s="1"/>
  <c r="A272" i="13" l="1"/>
  <c r="H78" i="13"/>
  <c r="K78" i="13" s="1"/>
  <c r="H68" i="13"/>
  <c r="K68" i="13" s="1"/>
  <c r="H63" i="13"/>
  <c r="K63" i="13" s="1"/>
  <c r="H62" i="13"/>
  <c r="K62" i="13" s="1"/>
  <c r="H52" i="13"/>
  <c r="K52" i="13" s="1"/>
  <c r="F118" i="13"/>
  <c r="H118" i="13" s="1"/>
  <c r="K118" i="13" s="1"/>
  <c r="F117" i="13"/>
  <c r="H117" i="13" s="1"/>
  <c r="K117" i="13" s="1"/>
  <c r="F116" i="13"/>
  <c r="H116" i="13" s="1"/>
  <c r="K116" i="13" s="1"/>
  <c r="H100" i="13"/>
  <c r="K100" i="13" s="1"/>
  <c r="F101" i="13"/>
  <c r="F129" i="13"/>
  <c r="F115" i="13"/>
  <c r="H115" i="13" s="1"/>
  <c r="K115" i="13" s="1"/>
  <c r="F122" i="13"/>
  <c r="F127" i="13"/>
  <c r="F121" i="13"/>
  <c r="F114" i="13"/>
  <c r="H114" i="13" s="1"/>
  <c r="K114" i="13" s="1"/>
  <c r="F113" i="13"/>
  <c r="H113" i="13" s="1"/>
  <c r="K113" i="13" s="1"/>
  <c r="F112" i="13"/>
  <c r="H112" i="13" s="1"/>
  <c r="K112" i="13" s="1"/>
  <c r="F111" i="13"/>
  <c r="H111" i="13" s="1"/>
  <c r="K111" i="13" s="1"/>
  <c r="F126" i="13"/>
  <c r="F141" i="13"/>
  <c r="H141" i="13" s="1"/>
  <c r="K141" i="13" s="1"/>
  <c r="F140" i="13"/>
  <c r="H140" i="13" s="1"/>
  <c r="K140" i="13" s="1"/>
  <c r="F139" i="13"/>
  <c r="H139" i="13" s="1"/>
  <c r="K139" i="13" s="1"/>
  <c r="F138" i="13"/>
  <c r="H138" i="13" s="1"/>
  <c r="K138" i="13" s="1"/>
  <c r="F137" i="13"/>
  <c r="H137" i="13" s="1"/>
  <c r="K137" i="13" s="1"/>
  <c r="F136" i="13"/>
  <c r="H136" i="13" s="1"/>
  <c r="K136" i="13" s="1"/>
  <c r="F135" i="13"/>
  <c r="F134" i="13"/>
  <c r="H134" i="13" s="1"/>
  <c r="K134" i="13" s="1"/>
  <c r="F133" i="13"/>
  <c r="H133" i="13" s="1"/>
  <c r="K133" i="13" s="1"/>
  <c r="F132" i="13"/>
  <c r="H132" i="13" s="1"/>
  <c r="K132" i="13" s="1"/>
  <c r="F131" i="13"/>
  <c r="H131" i="13" s="1"/>
  <c r="K131" i="13" s="1"/>
  <c r="F130" i="13"/>
  <c r="H130" i="13" s="1"/>
  <c r="K130" i="13" s="1"/>
  <c r="F128" i="13"/>
  <c r="A273" i="13" l="1"/>
  <c r="H135" i="13"/>
  <c r="K135" i="13" s="1"/>
  <c r="H101" i="13"/>
  <c r="K101" i="13" s="1"/>
  <c r="H107" i="13"/>
  <c r="K107" i="13" s="1"/>
  <c r="F106" i="13"/>
  <c r="H106" i="13" s="1"/>
  <c r="K106" i="13" s="1"/>
  <c r="F155" i="13"/>
  <c r="H155" i="13" s="1"/>
  <c r="K155" i="13" s="1"/>
  <c r="F154" i="13"/>
  <c r="H154" i="13" s="1"/>
  <c r="K154" i="13" s="1"/>
  <c r="F178" i="13"/>
  <c r="H178" i="13" s="1"/>
  <c r="K178" i="13" s="1"/>
  <c r="F151" i="13"/>
  <c r="H151" i="13" s="1"/>
  <c r="K151" i="13" s="1"/>
  <c r="F150" i="13"/>
  <c r="H150" i="13" s="1"/>
  <c r="K150" i="13" s="1"/>
  <c r="F149" i="13"/>
  <c r="H149" i="13" s="1"/>
  <c r="K149" i="13" s="1"/>
  <c r="F148" i="13"/>
  <c r="F147" i="13"/>
  <c r="F146" i="13"/>
  <c r="F145" i="13"/>
  <c r="F144" i="13"/>
  <c r="H129" i="13"/>
  <c r="K129" i="13" s="1"/>
  <c r="H128" i="13"/>
  <c r="K128" i="13" s="1"/>
  <c r="H127" i="13"/>
  <c r="K127" i="13" s="1"/>
  <c r="H126" i="13"/>
  <c r="K126" i="13" s="1"/>
  <c r="F125" i="13"/>
  <c r="H125" i="13" s="1"/>
  <c r="K125" i="13" s="1"/>
  <c r="H182" i="13"/>
  <c r="K182" i="13" s="1"/>
  <c r="F185" i="13"/>
  <c r="F184" i="13"/>
  <c r="H184" i="13" s="1"/>
  <c r="K184" i="13" s="1"/>
  <c r="F171" i="13"/>
  <c r="H171" i="13" s="1"/>
  <c r="K171" i="13" s="1"/>
  <c r="F173" i="13"/>
  <c r="H173" i="13" s="1"/>
  <c r="K173" i="13" s="1"/>
  <c r="F172" i="13"/>
  <c r="H172" i="13" s="1"/>
  <c r="K172" i="13" s="1"/>
  <c r="F166" i="13"/>
  <c r="F169" i="13"/>
  <c r="H169" i="13" s="1"/>
  <c r="K169" i="13" s="1"/>
  <c r="F167" i="13"/>
  <c r="F168" i="13"/>
  <c r="H168" i="13" s="1"/>
  <c r="K168" i="13" s="1"/>
  <c r="H183" i="13"/>
  <c r="K183" i="13" s="1"/>
  <c r="H181" i="13"/>
  <c r="K181" i="13" s="1"/>
  <c r="F102" i="13"/>
  <c r="H102" i="13" s="1"/>
  <c r="K102" i="13" s="1"/>
  <c r="F99" i="13"/>
  <c r="H99" i="13" s="1"/>
  <c r="K99" i="13" s="1"/>
  <c r="F103" i="13"/>
  <c r="H103" i="13" s="1"/>
  <c r="K103" i="13" s="1"/>
  <c r="H163" i="13"/>
  <c r="K163" i="13" s="1"/>
  <c r="H162" i="13"/>
  <c r="K162" i="13" s="1"/>
  <c r="F105" i="13"/>
  <c r="H105" i="13" s="1"/>
  <c r="K105" i="13" s="1"/>
  <c r="H104" i="13"/>
  <c r="K104" i="13" s="1"/>
  <c r="H161" i="13"/>
  <c r="K161" i="13" s="1"/>
  <c r="F160" i="13"/>
  <c r="H160" i="13" s="1"/>
  <c r="K160" i="13" s="1"/>
  <c r="F158" i="13"/>
  <c r="H159" i="13"/>
  <c r="K159" i="13" s="1"/>
  <c r="H81" i="13"/>
  <c r="K81" i="13" s="1"/>
  <c r="H74" i="13"/>
  <c r="K74" i="13" s="1"/>
  <c r="F41" i="13"/>
  <c r="H41" i="13" s="1"/>
  <c r="K41" i="13" s="1"/>
  <c r="H42" i="13"/>
  <c r="K42" i="13" s="1"/>
  <c r="H39" i="13"/>
  <c r="K39" i="13" s="1"/>
  <c r="F80" i="13"/>
  <c r="A274" i="13" l="1"/>
  <c r="A275" i="13" s="1"/>
  <c r="H185" i="13"/>
  <c r="K185" i="13" s="1"/>
  <c r="H166" i="13"/>
  <c r="K166" i="13" s="1"/>
  <c r="H167" i="13"/>
  <c r="K167" i="13" s="1"/>
  <c r="H158" i="13"/>
  <c r="K158" i="13" s="1"/>
  <c r="A276" i="13" l="1"/>
  <c r="A280" i="13" s="1"/>
  <c r="H98" i="13"/>
  <c r="K98" i="13" s="1"/>
  <c r="H80" i="13"/>
  <c r="K80" i="13" s="1"/>
  <c r="F97" i="13"/>
  <c r="F38" i="13"/>
  <c r="H38" i="13" s="1"/>
  <c r="K38" i="13" s="1"/>
  <c r="H121" i="13"/>
  <c r="K121" i="13" s="1"/>
  <c r="F94" i="13"/>
  <c r="H94" i="13" s="1"/>
  <c r="K94" i="13" s="1"/>
  <c r="F92" i="13"/>
  <c r="H92" i="13" s="1"/>
  <c r="K92" i="13" s="1"/>
  <c r="F91" i="13"/>
  <c r="H91" i="13" s="1"/>
  <c r="K91" i="13" s="1"/>
  <c r="F90" i="13"/>
  <c r="H90" i="13" s="1"/>
  <c r="K90" i="13" s="1"/>
  <c r="F89" i="13"/>
  <c r="F88" i="13"/>
  <c r="H88" i="13" s="1"/>
  <c r="K88" i="13" s="1"/>
  <c r="F87" i="13"/>
  <c r="F86" i="13"/>
  <c r="F85" i="13"/>
  <c r="F35" i="13"/>
  <c r="H35" i="13" s="1"/>
  <c r="K35" i="13" s="1"/>
  <c r="F34" i="13"/>
  <c r="H34" i="13" s="1"/>
  <c r="K34" i="13" s="1"/>
  <c r="F33" i="13"/>
  <c r="H33" i="13" s="1"/>
  <c r="K33" i="13" s="1"/>
  <c r="F32" i="13"/>
  <c r="H32" i="13" s="1"/>
  <c r="K32" i="13" s="1"/>
  <c r="F31" i="13"/>
  <c r="H31" i="13" s="1"/>
  <c r="K31" i="13" s="1"/>
  <c r="F30" i="13"/>
  <c r="H30" i="13" s="1"/>
  <c r="K30" i="13" s="1"/>
  <c r="F29" i="13"/>
  <c r="H29" i="13" s="1"/>
  <c r="K29" i="13" s="1"/>
  <c r="F28" i="13"/>
  <c r="F27" i="13"/>
  <c r="H27" i="13" s="1"/>
  <c r="K27" i="13" s="1"/>
  <c r="F93" i="13"/>
  <c r="H93" i="13" s="1"/>
  <c r="K93" i="13" s="1"/>
  <c r="H23" i="13"/>
  <c r="K23" i="13" s="1"/>
  <c r="F22" i="13"/>
  <c r="F21" i="13"/>
  <c r="F18" i="13"/>
  <c r="F17" i="13"/>
  <c r="F16" i="13"/>
  <c r="F15" i="13"/>
  <c r="F14" i="13"/>
  <c r="F13" i="13"/>
  <c r="F12" i="13"/>
  <c r="H12" i="13" s="1"/>
  <c r="K12" i="13" s="1"/>
  <c r="F11" i="13"/>
  <c r="F10" i="13"/>
  <c r="H10" i="13" s="1"/>
  <c r="K10" i="13" s="1"/>
  <c r="A9" i="13"/>
  <c r="A281" i="13" l="1"/>
  <c r="A283" i="13"/>
  <c r="H16" i="13"/>
  <c r="K16" i="13" s="1"/>
  <c r="H22" i="13"/>
  <c r="K22" i="13" s="1"/>
  <c r="H28" i="13"/>
  <c r="K28" i="13" s="1"/>
  <c r="H11" i="13"/>
  <c r="K11" i="13" s="1"/>
  <c r="H15" i="13"/>
  <c r="K15" i="13" s="1"/>
  <c r="H21" i="13"/>
  <c r="K21" i="13" s="1"/>
  <c r="H13" i="13"/>
  <c r="K13" i="13" s="1"/>
  <c r="H17" i="13"/>
  <c r="K17" i="13" s="1"/>
  <c r="H14" i="13"/>
  <c r="K14" i="13" s="1"/>
  <c r="H18" i="13"/>
  <c r="K18" i="13" s="1"/>
  <c r="H122" i="13"/>
  <c r="K122" i="13" s="1"/>
  <c r="H89" i="13"/>
  <c r="K89" i="13" s="1"/>
  <c r="A7" i="13"/>
  <c r="A10" i="13" l="1"/>
  <c r="H97" i="13"/>
  <c r="K97" i="13" s="1"/>
  <c r="H148" i="13"/>
  <c r="K148" i="13" s="1"/>
  <c r="H147" i="13"/>
  <c r="K147" i="13" s="1"/>
  <c r="H145" i="13"/>
  <c r="K145" i="13" s="1"/>
  <c r="H144" i="13"/>
  <c r="K144" i="13" s="1"/>
  <c r="H87" i="13"/>
  <c r="K87" i="13" s="1"/>
  <c r="H86" i="13"/>
  <c r="K86" i="13" s="1"/>
  <c r="H85" i="13"/>
  <c r="K85" i="13" s="1"/>
  <c r="A11" i="13" l="1"/>
  <c r="H146" i="13"/>
  <c r="K146" i="13" s="1"/>
  <c r="L230" i="13" s="1"/>
  <c r="A12" i="13" l="1"/>
  <c r="A13" i="13" l="1"/>
  <c r="K231" i="13"/>
  <c r="K232" i="13" l="1"/>
  <c r="K233" i="13"/>
  <c r="A14" i="13"/>
  <c r="L231" i="13"/>
  <c r="K234" i="13" l="1"/>
  <c r="L233" i="13"/>
  <c r="L232" i="13"/>
  <c r="A15" i="13"/>
  <c r="A16" i="13" s="1"/>
  <c r="A17" i="13" s="1"/>
  <c r="L234" i="13" l="1"/>
  <c r="C5" i="13" s="1"/>
  <c r="A18" i="13"/>
  <c r="A21" i="13" s="1"/>
  <c r="A22" i="13" s="1"/>
  <c r="A23" i="13" s="1"/>
  <c r="A27" i="13" s="1"/>
  <c r="A28" i="13" s="1"/>
  <c r="A29" i="13" s="1"/>
  <c r="A30" i="13" s="1"/>
  <c r="A31" i="13" s="1"/>
  <c r="A32" i="13" s="1"/>
  <c r="A33" i="13" s="1"/>
  <c r="A34" i="13" s="1"/>
  <c r="A35" i="13" s="1"/>
  <c r="A38" i="13" s="1"/>
  <c r="A39" i="13" s="1"/>
  <c r="A40" i="13" s="1"/>
  <c r="A41" i="13" s="1"/>
  <c r="A42" i="13" s="1"/>
  <c r="A43"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71" i="13" s="1"/>
  <c r="A74" i="13" s="1"/>
  <c r="A75" i="13" s="1"/>
  <c r="A76" i="13" s="1"/>
  <c r="A77" i="13" s="1"/>
  <c r="A78" i="13" s="1"/>
  <c r="A80" i="13" s="1"/>
  <c r="A81" i="13" s="1"/>
  <c r="A85" i="13" s="1"/>
  <c r="A86" i="13" s="1"/>
  <c r="A87" i="13" s="1"/>
  <c r="A88" i="13" s="1"/>
  <c r="A89" i="13" s="1"/>
  <c r="A90" i="13" s="1"/>
  <c r="A91" i="13" s="1"/>
  <c r="A92" i="13" s="1"/>
  <c r="A93" i="13" s="1"/>
  <c r="A94" i="13" s="1"/>
  <c r="A97" i="13" s="1"/>
  <c r="A98" i="13" s="1"/>
  <c r="A99" i="13" s="1"/>
  <c r="A100" i="13" s="1"/>
  <c r="A101" i="13" s="1"/>
  <c r="A102" i="13" s="1"/>
  <c r="A103" i="13" s="1"/>
  <c r="A104" i="13" s="1"/>
  <c r="A105" i="13" s="1"/>
  <c r="A106" i="13" s="1"/>
  <c r="A107" i="13" s="1"/>
  <c r="A111" i="13" s="1"/>
  <c r="A112" i="13" s="1"/>
  <c r="A113" i="13" s="1"/>
  <c r="A114" i="13" s="1"/>
  <c r="A115" i="13" s="1"/>
  <c r="A116" i="13" s="1"/>
  <c r="A117" i="13" s="1"/>
  <c r="A118" i="13" s="1"/>
  <c r="A121" i="13" s="1"/>
  <c r="A122" i="13" s="1"/>
  <c r="A125" i="13" s="1"/>
  <c r="A126" i="13" s="1"/>
  <c r="A127" i="13" s="1"/>
  <c r="A128" i="13" s="1"/>
  <c r="A129" i="13" s="1"/>
  <c r="A130" i="13" s="1"/>
  <c r="A131" i="13" s="1"/>
  <c r="A132" i="13" s="1"/>
  <c r="A133" i="13" s="1"/>
  <c r="A134" i="13" s="1"/>
  <c r="A135" i="13" s="1"/>
  <c r="A136" i="13" s="1"/>
  <c r="A137" i="13" s="1"/>
  <c r="A138" i="13" s="1"/>
  <c r="A139" i="13" s="1"/>
  <c r="A140" i="13" s="1"/>
  <c r="A141" i="13" s="1"/>
  <c r="A144" i="13" s="1"/>
  <c r="A145" i="13" s="1"/>
  <c r="A146" i="13" s="1"/>
  <c r="A147" i="13" s="1"/>
  <c r="A148" i="13" s="1"/>
  <c r="A149" i="13" s="1"/>
  <c r="A150" i="13" s="1"/>
  <c r="A151" i="13" s="1"/>
  <c r="A154" i="13" s="1"/>
  <c r="A155" i="13" s="1"/>
  <c r="A158" i="13" s="1"/>
  <c r="A159" i="13" s="1"/>
  <c r="A160" i="13" s="1"/>
  <c r="A161" i="13" s="1"/>
  <c r="A162" i="13" s="1"/>
  <c r="A163" i="13" s="1"/>
  <c r="A166" i="13" s="1"/>
  <c r="A167" i="13" l="1"/>
  <c r="A168" i="13" s="1"/>
  <c r="A169" i="13" s="1"/>
  <c r="A171" i="13" s="1"/>
  <c r="A172" i="13" s="1"/>
  <c r="A173" i="13" s="1"/>
  <c r="A174" i="13"/>
  <c r="A175" i="13" l="1"/>
  <c r="A178" i="13" s="1"/>
  <c r="A181" i="13" s="1"/>
  <c r="A182" i="13" s="1"/>
  <c r="A183" i="13" s="1"/>
  <c r="A184" i="13" s="1"/>
  <c r="A185" i="13" s="1"/>
  <c r="A189" i="13" s="1"/>
  <c r="A190" i="13" s="1"/>
  <c r="A193" i="13" s="1"/>
  <c r="A194" i="13" s="1"/>
  <c r="A195" i="13" s="1"/>
  <c r="A198" i="13" s="1"/>
  <c r="A199" i="13" s="1"/>
  <c r="A202" i="13" s="1"/>
  <c r="A203" i="13" s="1"/>
  <c r="A204" i="13" s="1"/>
  <c r="A205" i="13" s="1"/>
  <c r="A207" i="13" s="1"/>
  <c r="A209" i="13" s="1"/>
  <c r="A210" i="13" s="1"/>
  <c r="A211" i="13" s="1"/>
  <c r="A214" i="13" s="1"/>
  <c r="A215" i="13" s="1"/>
  <c r="A216" i="13" s="1"/>
  <c r="A217" i="13" s="1"/>
  <c r="A218" i="13" s="1"/>
  <c r="A219" i="13" s="1"/>
  <c r="A220" i="13" s="1"/>
  <c r="A221" i="13" s="1"/>
  <c r="A225" i="13" s="1"/>
  <c r="A226" i="13" s="1"/>
</calcChain>
</file>

<file path=xl/sharedStrings.xml><?xml version="1.0" encoding="utf-8"?>
<sst xmlns="http://schemas.openxmlformats.org/spreadsheetml/2006/main" count="717" uniqueCount="254">
  <si>
    <t>UNIT</t>
  </si>
  <si>
    <t>DESCRIPTION</t>
  </si>
  <si>
    <t>UNIT COST</t>
  </si>
  <si>
    <t>WASTE</t>
  </si>
  <si>
    <t>QTY. W/ WASTE</t>
  </si>
  <si>
    <t>TOTAL COST</t>
  </si>
  <si>
    <t>PROJECT</t>
  </si>
  <si>
    <t>ADDRESS</t>
  </si>
  <si>
    <t>Date of submission</t>
  </si>
  <si>
    <t>Date of plans</t>
  </si>
  <si>
    <t>SR #</t>
  </si>
  <si>
    <t>SUB TOTALS</t>
  </si>
  <si>
    <t>OVERHEAD AND PROFIT</t>
  </si>
  <si>
    <t>SUB - TOTAL</t>
  </si>
  <si>
    <t>Sheet
No.</t>
  </si>
  <si>
    <t>Detail
No.</t>
  </si>
  <si>
    <t>QTY</t>
  </si>
  <si>
    <t>EA.</t>
  </si>
  <si>
    <t>05 00 00</t>
  </si>
  <si>
    <t>METALS</t>
  </si>
  <si>
    <t>BASE PLATES</t>
  </si>
  <si>
    <t>LB</t>
  </si>
  <si>
    <t>BEAMS</t>
  </si>
  <si>
    <t>S201-205</t>
  </si>
  <si>
    <t>Schedule/S201</t>
  </si>
  <si>
    <t>COLUMNS/POSTS</t>
  </si>
  <si>
    <r>
      <t xml:space="preserve">HSS 12X4X1/4 </t>
    </r>
    <r>
      <rPr>
        <b/>
        <sz val="12"/>
        <rFont val="Calibri"/>
        <family val="2"/>
        <scheme val="minor"/>
      </rPr>
      <t>(01 EA.)</t>
    </r>
  </si>
  <si>
    <r>
      <t xml:space="preserve">HSS 20X4X1/4 </t>
    </r>
    <r>
      <rPr>
        <b/>
        <sz val="12"/>
        <rFont val="Calibri"/>
        <family val="2"/>
        <scheme val="minor"/>
      </rPr>
      <t>(02 EA.)</t>
    </r>
  </si>
  <si>
    <r>
      <rPr>
        <b/>
        <sz val="12"/>
        <rFont val="Calibri"/>
        <family val="2"/>
        <scheme val="minor"/>
      </rPr>
      <t>Size:</t>
    </r>
    <r>
      <rPr>
        <sz val="12"/>
        <rFont val="Calibri"/>
        <family val="2"/>
        <scheme val="minor"/>
      </rPr>
      <t xml:space="preserve"> 1'-0"x1'-0"x7/8" W/
- (4) 3/4" Dia. A307 Anchor Bolts</t>
    </r>
  </si>
  <si>
    <r>
      <rPr>
        <b/>
        <sz val="12"/>
        <rFont val="Calibri"/>
        <family val="2"/>
        <scheme val="minor"/>
      </rPr>
      <t>Size:</t>
    </r>
    <r>
      <rPr>
        <sz val="12"/>
        <rFont val="Calibri"/>
        <family val="2"/>
        <scheme val="minor"/>
      </rPr>
      <t xml:space="preserve"> 1'-4"x1'-4"x7/8" W/
- (4) 3/4" Dia. A307 Anchor Bolts</t>
    </r>
  </si>
  <si>
    <r>
      <rPr>
        <b/>
        <sz val="12"/>
        <rFont val="Calibri"/>
        <family val="2"/>
        <scheme val="minor"/>
      </rPr>
      <t>Size:</t>
    </r>
    <r>
      <rPr>
        <sz val="12"/>
        <rFont val="Calibri"/>
        <family val="2"/>
        <scheme val="minor"/>
      </rPr>
      <t xml:space="preserve"> 7/8" L- Base Plate W/
- (4) 3/4" Dia. A307 Anchor Bolts</t>
    </r>
  </si>
  <si>
    <t>FRAME ELEVATIONS</t>
  </si>
  <si>
    <t>FIRST FLOOR FRAMING</t>
  </si>
  <si>
    <t>SECOND FLOOR FRAMING</t>
  </si>
  <si>
    <r>
      <t xml:space="preserve">HSS 6X6X3/8 </t>
    </r>
    <r>
      <rPr>
        <b/>
        <sz val="12"/>
        <rFont val="Calibri"/>
        <family val="2"/>
        <scheme val="minor"/>
      </rPr>
      <t>(01 EA.)</t>
    </r>
  </si>
  <si>
    <r>
      <t xml:space="preserve">HSS 8X8X3/8 </t>
    </r>
    <r>
      <rPr>
        <b/>
        <sz val="12"/>
        <rFont val="Calibri"/>
        <family val="2"/>
        <scheme val="minor"/>
      </rPr>
      <t>(04 EA.)</t>
    </r>
  </si>
  <si>
    <t>STEEL ANGLE</t>
  </si>
  <si>
    <t>PLATES</t>
  </si>
  <si>
    <t xml:space="preserve"> PLATES</t>
  </si>
  <si>
    <t>1/2" Cap Plates</t>
  </si>
  <si>
    <t>L-4X4X3/8</t>
  </si>
  <si>
    <t>L-8X4X3/8</t>
  </si>
  <si>
    <t>L-4X4X1/4</t>
  </si>
  <si>
    <t>1/4" Cap Plates</t>
  </si>
  <si>
    <t>LF</t>
  </si>
  <si>
    <t>METAL DECKING</t>
  </si>
  <si>
    <t>SF</t>
  </si>
  <si>
    <t>3" 20GA. Metal Deck (VERCO W3 Formlock)</t>
  </si>
  <si>
    <t>1,10/S103</t>
  </si>
  <si>
    <t>1/4" Bent Plates</t>
  </si>
  <si>
    <t>1/4" Gusset Plates</t>
  </si>
  <si>
    <t>10GA. Closure Plate</t>
  </si>
  <si>
    <t>6/S103</t>
  </si>
  <si>
    <t>1-1/2" 18GA. Metal Deck</t>
  </si>
  <si>
    <t>1-1/2" 18GA. Metal Roof Deck (VERCO HSB)</t>
  </si>
  <si>
    <t>1-1/2" 18GA. Metal Roof Deck (VERCO HSB-CD)</t>
  </si>
  <si>
    <t>5/16" Bent Plate</t>
  </si>
  <si>
    <t>1/2" Gusset Plates</t>
  </si>
  <si>
    <t>1-1/2" 20GA. Metal Deck</t>
  </si>
  <si>
    <t>L-4X3X1/4</t>
  </si>
  <si>
    <t>MAIN ROOF, MANSARD &amp; HIGH ROOF FRAMING</t>
  </si>
  <si>
    <t>1-1/2" 16GA. Metal Roof Deck @ Mansard (VERCO HSB-CD)</t>
  </si>
  <si>
    <t>16GA. Bent Closure Plate</t>
  </si>
  <si>
    <t>1/4" Bent Plate</t>
  </si>
  <si>
    <t>3" 18GA. Metal Roof Deck @ High Roof (VERCO PLN3-CD)</t>
  </si>
  <si>
    <t>1-1/2" 18GA. Metal Roof Deck @ High Roof (VERCO PLN3-CD)</t>
  </si>
  <si>
    <t>S301-S303</t>
  </si>
  <si>
    <t>W-21X62</t>
  </si>
  <si>
    <t>W-21X50</t>
  </si>
  <si>
    <t>W-18X35</t>
  </si>
  <si>
    <t>W-21X57</t>
  </si>
  <si>
    <t>W-21X93</t>
  </si>
  <si>
    <t>BRACING</t>
  </si>
  <si>
    <t>HSS-4X4X5/16</t>
  </si>
  <si>
    <t>5/16" Gusset Plate</t>
  </si>
  <si>
    <t>13/S604</t>
  </si>
  <si>
    <t>12/S604</t>
  </si>
  <si>
    <t>3/8" Thk Base Plate</t>
  </si>
  <si>
    <r>
      <rPr>
        <b/>
        <sz val="12"/>
        <rFont val="Calibri"/>
        <family val="2"/>
        <scheme val="minor"/>
      </rPr>
      <t>Size:</t>
    </r>
    <r>
      <rPr>
        <sz val="12"/>
        <rFont val="Calibri"/>
        <family val="2"/>
        <scheme val="minor"/>
      </rPr>
      <t xml:space="preserve"> 2'-6"x1'-8"x3" W/
- (5) 2" Dia. Anchor Bolts</t>
    </r>
  </si>
  <si>
    <r>
      <rPr>
        <b/>
        <sz val="12"/>
        <rFont val="Calibri"/>
        <family val="2"/>
        <scheme val="minor"/>
      </rPr>
      <t>Size:</t>
    </r>
    <r>
      <rPr>
        <sz val="12"/>
        <rFont val="Calibri"/>
        <family val="2"/>
        <scheme val="minor"/>
      </rPr>
      <t xml:space="preserve"> 3'-0"x2'-0"x3 3/4" W/
- (5) 2" Dia. Anchor Bolts</t>
    </r>
  </si>
  <si>
    <t>BEAMS (HIGH ROOF)</t>
  </si>
  <si>
    <t>W-12X19</t>
  </si>
  <si>
    <t>W-14X22</t>
  </si>
  <si>
    <t>W-16X26</t>
  </si>
  <si>
    <t>W-21X44</t>
  </si>
  <si>
    <t>W-24X62</t>
  </si>
  <si>
    <t>W-24X76</t>
  </si>
  <si>
    <t>W-27X84</t>
  </si>
  <si>
    <t>W-8X21</t>
  </si>
  <si>
    <t>BEAMS (MANSARD ROOF)</t>
  </si>
  <si>
    <t>HSS-6X6X5/16</t>
  </si>
  <si>
    <t>HSS-8X6X5/16</t>
  </si>
  <si>
    <t>1/4" Bent Plate x 0'-4" Long</t>
  </si>
  <si>
    <t>S602</t>
  </si>
  <si>
    <t>1/4" Stiffener Plates</t>
  </si>
  <si>
    <t>BEAMS (MAIN ROOF)</t>
  </si>
  <si>
    <t>HSS-6X6X1/4</t>
  </si>
  <si>
    <t>HSS-12X6X3/8</t>
  </si>
  <si>
    <t>HSS-8X6X3/8</t>
  </si>
  <si>
    <t>W-10X12</t>
  </si>
  <si>
    <t>W-14X26</t>
  </si>
  <si>
    <t>W-16X31</t>
  </si>
  <si>
    <t>W-18X40</t>
  </si>
  <si>
    <t>W-21X48</t>
  </si>
  <si>
    <t>W-24X55</t>
  </si>
  <si>
    <t>W-24X68</t>
  </si>
  <si>
    <t>C-CHANNELS</t>
  </si>
  <si>
    <t>C-6X8.2</t>
  </si>
  <si>
    <t>C-9X20</t>
  </si>
  <si>
    <t>L-3X3X1/4</t>
  </si>
  <si>
    <t>L-4X4X5/16</t>
  </si>
  <si>
    <t>L-5X5X3/8</t>
  </si>
  <si>
    <t>W-12X26</t>
  </si>
  <si>
    <t>W-16X77</t>
  </si>
  <si>
    <t>W-30X108</t>
  </si>
  <si>
    <t>W-30X132</t>
  </si>
  <si>
    <t>W-30X90</t>
  </si>
  <si>
    <t>L-2X2X3/8</t>
  </si>
  <si>
    <t>HSS-12X8X5/8</t>
  </si>
  <si>
    <t>HSS-2X2X1/4</t>
  </si>
  <si>
    <t>HSS-4X4X1/4</t>
  </si>
  <si>
    <t>HSS-8X4X3/8</t>
  </si>
  <si>
    <t>STAIRS FRAMING</t>
  </si>
  <si>
    <t>HSS-14X6X3/8</t>
  </si>
  <si>
    <t>HSS-14X4X3/8</t>
  </si>
  <si>
    <t>HSS-8X8X3/8</t>
  </si>
  <si>
    <t>1/4" End Plates</t>
  </si>
  <si>
    <t>HSS-12X8X3/8</t>
  </si>
  <si>
    <t>STEEL PAN</t>
  </si>
  <si>
    <t>12GA. Steel Pan @ Landings</t>
  </si>
  <si>
    <t>HSS-12X4X3/8</t>
  </si>
  <si>
    <t>L-3.5X3.5X1/2</t>
  </si>
  <si>
    <t>L-1.5X1.5X3/16</t>
  </si>
  <si>
    <t>Stair
Size: 6'-0" x 0'-11"</t>
  </si>
  <si>
    <t>Stair
Size: 4'-4" x 0'-11"</t>
  </si>
  <si>
    <t>Stair
Size: 6'-0" x 1'-0"</t>
  </si>
  <si>
    <t>STEEL STEPS</t>
  </si>
  <si>
    <t>STRINGERS</t>
  </si>
  <si>
    <t>MISC. STEEL ALLOWANCES</t>
  </si>
  <si>
    <t>Allowance For Connections, Misc. Plates , Anchor Bolts, Shear Studs &amp; Other Items</t>
  </si>
  <si>
    <t>LS</t>
  </si>
  <si>
    <t>Allowance For Misc. Steel Items</t>
  </si>
  <si>
    <t>MISC. ITEMS</t>
  </si>
  <si>
    <t>Shear Studs</t>
  </si>
  <si>
    <t>5/16"  Plates</t>
  </si>
  <si>
    <t xml:space="preserve">3/8" Plate W/
(3) Bolts </t>
  </si>
  <si>
    <t xml:space="preserve">1/2" Plate W/
(4) Bolts </t>
  </si>
  <si>
    <t xml:space="preserve">5/8" Plate W/
(5) Bolts </t>
  </si>
  <si>
    <t xml:space="preserve">5/8" Plate W/
(6) Bolts </t>
  </si>
  <si>
    <t xml:space="preserve">5/8" Plate W/
(7) Bolts </t>
  </si>
  <si>
    <t>Structural Steel</t>
  </si>
  <si>
    <t>CONTINGENCY &amp; ESCALATION</t>
  </si>
  <si>
    <t>STRUCTURAL STEEL</t>
  </si>
  <si>
    <t>RAILINGS</t>
  </si>
  <si>
    <t>A201B-A202B
&amp;
A-532</t>
  </si>
  <si>
    <t>3/A-535</t>
  </si>
  <si>
    <r>
      <rPr>
        <b/>
        <sz val="12"/>
        <rFont val="Calibri"/>
        <family val="2"/>
        <scheme val="minor"/>
      </rPr>
      <t>05.52A Railing System As;</t>
    </r>
    <r>
      <rPr>
        <sz val="12"/>
        <rFont val="Calibri"/>
        <family val="2"/>
        <scheme val="minor"/>
      </rPr>
      <t xml:space="preserve">
- 1.5" OD x 0.065" Stainless Steel Tube w/ Saddle Wall Rail
- 4-1/2" Dia. X 1/4"Thk. Plate Countersink for Flathead Screws
- 1" Dia. X 7/8" Bracket Collar
- (4) #12 Flathead Stainless Steel SMS</t>
    </r>
  </si>
  <si>
    <t>2,4/A-535</t>
  </si>
  <si>
    <r>
      <rPr>
        <b/>
        <sz val="12"/>
        <rFont val="Calibri"/>
        <family val="2"/>
        <scheme val="minor"/>
      </rPr>
      <t>05.52B Railing System As;</t>
    </r>
    <r>
      <rPr>
        <sz val="12"/>
        <rFont val="Calibri"/>
        <family val="2"/>
        <scheme val="minor"/>
      </rPr>
      <t xml:space="preserve">
- 3" x 1-1/2" x 3/16" Galvanized &amp; Painted Steel Top Rail
- 5/8" Dia. Galvanized &amp; Painted Steel Rod Raiser
- 1-1/2' Dia. Galvanized Steel; Tube Handrail Attached to Post.
- 2-1/4" x 2-1/4" x 1/4" Galvanized &amp; Painted Steel Posts
- 1-1/2" Dia. Galvanized &amp; Painted Metal Handrails
- 3/16" Dia. Stainless Steel Cable Rail</t>
    </r>
  </si>
  <si>
    <t>1,2/A-525</t>
  </si>
  <si>
    <r>
      <rPr>
        <b/>
        <sz val="12"/>
        <rFont val="Calibri"/>
        <family val="2"/>
        <scheme val="minor"/>
      </rPr>
      <t>05.52C Railing System As;</t>
    </r>
    <r>
      <rPr>
        <sz val="12"/>
        <rFont val="Calibri"/>
        <family val="2"/>
        <scheme val="minor"/>
      </rPr>
      <t xml:space="preserve">
- 1.5" OD x 0.065" Stainless Steel Tube
- 9/16"Thk. CLR. Tempered PVB Laminated Glass w/ Color Interlayer
- 1-7/8" Dia. X 0.38" I.D. Washer
- 1" Dia. X 7/8" Bracket Collar
- Bracket, Saddle Stainless Steel Casting
- 2-1/4" Stainless Steel Rail Bracket Arm
- 2" Dia. x 1/4" Wall Plate
- 16 GA V-CUT #4 Long Grain Finish Stainless Steel Cladding To Conceal Aluminum Base Trim, Per  Railing Manufacturer
- Rockite Glass Set Int-Ext Fill Level 
- Neoprene Trim Gasket To Obtain Full Weather Tight Seal
- 1/2-13 X 1 1/4 Counter Bore Screw @ 2'-3'" O.C
- 2 1/2"W X 4"H Extruded Aluminum Base 
- 3/4" O.D. Nylon Washer 
- (St-B-MB) 2 X 2 1/2 X 1/2 Steel Plate @ 2'-3" O.C.</t>
    </r>
  </si>
  <si>
    <t>A-524</t>
  </si>
  <si>
    <r>
      <rPr>
        <b/>
        <sz val="12"/>
        <rFont val="Calibri"/>
        <family val="2"/>
        <scheme val="minor"/>
      </rPr>
      <t>05.73A Railing System As;</t>
    </r>
    <r>
      <rPr>
        <sz val="12"/>
        <rFont val="Calibri"/>
        <family val="2"/>
        <scheme val="minor"/>
      </rPr>
      <t xml:space="preserve">
- Wall Formed Stainless Steel Cap Rail #4 Burshed Finish
- 1.5" OD x 0.065" Stainless Steel Tube Guardrail w/ Stainless Steel Bracket Attached to Glass Railing System
- 9/16"Thk. CLR. Tempered PVB Laminated Glass w/ Color Interlayer
- 1-7/8" Dia. X 0.38" I.D. Washer
- 1" Dia. X 7/8" Bracket Collar
- 2-1/4" Stainless Steel Rail Bracket Arm
- Bracket, Saddle Stainless Steel Casting
- 2" Dia. x 1/4" Wall Plate
- 1-7/8" Dia. X 0.38" I.D. Washer</t>
    </r>
  </si>
  <si>
    <t>2/A-543</t>
  </si>
  <si>
    <r>
      <rPr>
        <b/>
        <sz val="12"/>
        <rFont val="Calibri"/>
        <family val="2"/>
        <scheme val="minor"/>
      </rPr>
      <t>05.73B Railing System As;</t>
    </r>
    <r>
      <rPr>
        <sz val="12"/>
        <rFont val="Calibri"/>
        <family val="2"/>
        <scheme val="minor"/>
      </rPr>
      <t xml:space="preserve">
- 3" x 1-1/2" x 3/16" Galvanized &amp; Painted Steel Top Rail
- 5/8" Dia. Galvanized &amp; Painted Steel Rod Raiser
- 3/8" Dia Galvanized Steel Rod Bracket
- 1" Dia. Galvanized Steel Rod Bracket
- 1-1/2' Dia. Galvanized Steel; Tube Handrail Attached to Post.
- 2-1/4" x 2-1/4" x 1/4" Galvanized &amp; Painted Steel Posts
- 1-1/2" Dia. Galvanized &amp; Painted Metal Handrails
- 3/16" Dia. Stainless Steel Cable Rail @ 3-3/4" O.C. Max. w/ Invisiware Fitting. Provide 15/32" Dia Holes @ Tensioning Posta. Provide 3/8" Dia Holes @ Intermidiate Posts</t>
    </r>
  </si>
  <si>
    <r>
      <rPr>
        <b/>
        <sz val="12"/>
        <rFont val="Calibri"/>
        <family val="2"/>
        <scheme val="minor"/>
      </rPr>
      <t>05.73C 42" High Railing System As;</t>
    </r>
    <r>
      <rPr>
        <sz val="12"/>
        <rFont val="Calibri"/>
        <family val="2"/>
        <scheme val="minor"/>
      </rPr>
      <t xml:space="preserve">
- Wall Formed Stainless Steel Cap Rail #4 Burshed Finish
- 1.5" OD x 0.065" Stainless Steel Tube Guardrail w/ Stainless Steel Bracket Attached to Glass Railing System
- 9/16"Thk. CLR. Tempered PVB Laminated Glass w/ Color Interlayer
- 1-7/8" Dia. X 0.38" I.D. Washer
- 1" Dia. X 7/8" Bracket Collar
- 2-1/4" Stainless Steel Rail Bracket Arm
- Bracket, Saddle Stainless Steel Casting
- 2" Dia. x 1/4" Wall Plate
- 1-7/8" Dia. X 0.38" I.D. Washer</t>
    </r>
  </si>
  <si>
    <t>1/A-544</t>
  </si>
  <si>
    <r>
      <rPr>
        <b/>
        <sz val="12"/>
        <rFont val="Calibri"/>
        <family val="2"/>
        <scheme val="minor"/>
      </rPr>
      <t>05.73E Railing System As;</t>
    </r>
    <r>
      <rPr>
        <sz val="12"/>
        <rFont val="Calibri"/>
        <family val="2"/>
        <scheme val="minor"/>
      </rPr>
      <t xml:space="preserve">
- 3" x 1-1/2" x 3/16" Galvanized &amp; Painted Steel Top Rail
- 1-1/2" x 3" x 1/8" Steel Plate
- 1/4" Dia Galvanized &amp; Painted Rod
- 1-1/2' Dia. Galvanized Steel; Tube Handrail Welded to Stringers
- 2-1/4" x 2-1/4" x 1/4" Galvanized &amp; Painted Steel Posts
- 3/16" Dia. Stainless Steel Cable Rail @ 3-3/4" O.C. Max. w/ Invisiware Fitting. Provide 15/32" Dia Holes @ Tensioning Posta. Provide 3/8" Dia Holes @ Intermidiate Posts
- 3-1/2" x 1/4" Galvanized &amp; Painted Flat Bar</t>
    </r>
  </si>
  <si>
    <r>
      <rPr>
        <b/>
        <sz val="12"/>
        <rFont val="Calibri"/>
        <family val="2"/>
        <scheme val="minor"/>
      </rPr>
      <t>05.73F 54" High Railing System As;</t>
    </r>
    <r>
      <rPr>
        <sz val="12"/>
        <rFont val="Calibri"/>
        <family val="2"/>
        <scheme val="minor"/>
      </rPr>
      <t xml:space="preserve">
- Wall Formed Stainless Steel Cap Rail #4 Burshed Finish
- 1.5" OD x 0.065" Stainless Steel Tube Guardrail w/ Stainless Steel Bracket Attached to Glass Railing System
- 9/16"Thk. CLR. Tempered PVB Laminated Glass w/ Color Interlayer
- 1-7/8" Dia. X 0.38" I.D. Washer
- 1" Dia. X 7/8" Bracket Collar
- 2-1/4" Stainless Steel Rail Bracket Arm
- Bracket, Saddle Stainless Steel Casting
- 2" Dia. x 1/4" Wall Plate
- 1-7/8" Dia. X 0.38" I.D. Washer</t>
    </r>
  </si>
  <si>
    <t>CANOPY</t>
  </si>
  <si>
    <t>A202A</t>
  </si>
  <si>
    <t>08.42A</t>
  </si>
  <si>
    <t>Canopy</t>
  </si>
  <si>
    <t>6/A-702</t>
  </si>
  <si>
    <t>7/A-921</t>
  </si>
  <si>
    <t>Decorative Metal Reveal @ Edge of Concrete Floor
- 4" x 2" Wide L Angle Strip Reveal Attached to Floor W/ 
- 1/4" Dia. HILTI KWIK HUS-EZ ICC ESR-3027</t>
  </si>
  <si>
    <t>EXTERIOR SIGNAGES</t>
  </si>
  <si>
    <t>A-977</t>
  </si>
  <si>
    <r>
      <rPr>
        <b/>
        <sz val="12"/>
        <rFont val="Calibri"/>
        <family val="2"/>
        <scheme val="minor"/>
      </rPr>
      <t>Signage - 1, 3, 5 &amp; 7</t>
    </r>
    <r>
      <rPr>
        <sz val="12"/>
        <rFont val="Calibri"/>
        <family val="2"/>
        <scheme val="minor"/>
      </rPr>
      <t xml:space="preserve">
- 12" High 1/4" Deep Cut Aluminum Letter, Painted Finish Dark Bronze. Wall Mounted to be Secured with 1/8" (3) Min. Stainless Steel Threaded Rod &amp; Adhesive with 1/4" Deep Aluminum Spacers, To Match Wall Colors.
Front: Helvetica Neue Medium
- 1/8" Thk Stainless Steel Threaded Rods. 1-5/8" Min. Embedment Depth
</t>
    </r>
    <r>
      <rPr>
        <b/>
        <sz val="12"/>
        <rFont val="Calibri"/>
        <family val="2"/>
        <scheme val="minor"/>
      </rPr>
      <t>Lettering: "8100"</t>
    </r>
  </si>
  <si>
    <r>
      <rPr>
        <b/>
        <sz val="12"/>
        <rFont val="Calibri"/>
        <family val="2"/>
        <scheme val="minor"/>
      </rPr>
      <t>Signage - 2, 4, 6 &amp; 8</t>
    </r>
    <r>
      <rPr>
        <sz val="12"/>
        <rFont val="Calibri"/>
        <family val="2"/>
        <scheme val="minor"/>
      </rPr>
      <t xml:space="preserve">
- 12" High 1/4" Deep Cut Aluminum Letter, Painted Finish Dark Bronze. Wall Mounted to be Secured with 1/8" (3) Min. Stainless Steel Threaded Rod &amp; Adhesive with 1/4" Deep Aluminum Spacers, To Match Wall Colors.
Front: Helvetica Neue Medium
- 1/8" Thk Stainless Steel Threaded Rods. 1-5/8" Min. Embedment Depth
</t>
    </r>
    <r>
      <rPr>
        <b/>
        <sz val="12"/>
        <rFont val="Calibri"/>
        <family val="2"/>
        <scheme val="minor"/>
      </rPr>
      <t>Lettering: "8000"</t>
    </r>
  </si>
  <si>
    <r>
      <rPr>
        <b/>
        <sz val="12"/>
        <rFont val="Calibri"/>
        <family val="2"/>
        <scheme val="minor"/>
      </rPr>
      <t>Signage - 9</t>
    </r>
    <r>
      <rPr>
        <sz val="12"/>
        <rFont val="Calibri"/>
        <family val="2"/>
        <scheme val="minor"/>
      </rPr>
      <t xml:space="preserve">
- 18" High 1/4" Deep Cut Aluminum Letter, Painted Finish Dark Bronze. Wall Mounted to be Secured with 1/8" (3) Min. Stainless Steel Threaded Rod &amp; Adhesive with 1/4" Deep Aluminum Spacers, To Match Wall Colors.
Front: Helvetica Neue Medium
- 1/8" Thk Stainless Steel Threaded Rods. 1-5/8" Min. Embedment Depth
</t>
    </r>
    <r>
      <rPr>
        <b/>
        <sz val="12"/>
        <rFont val="Calibri"/>
        <family val="2"/>
        <scheme val="minor"/>
      </rPr>
      <t>Lettering: "COFFEE"</t>
    </r>
  </si>
  <si>
    <r>
      <rPr>
        <b/>
        <sz val="12"/>
        <rFont val="Calibri"/>
        <family val="2"/>
        <scheme val="minor"/>
      </rPr>
      <t>Signage - 10</t>
    </r>
    <r>
      <rPr>
        <sz val="12"/>
        <rFont val="Calibri"/>
        <family val="2"/>
        <scheme val="minor"/>
      </rPr>
      <t xml:space="preserve">
- 12" High 1/4" Deep Cut Aluminum Letter, Painted Finish Dark Bronze. Wall Mounted to be Secured with 1/8" (3) Min. Stainless Steel Threaded Rod &amp; Adhesive with 1/4" Deep Aluminum Spacers, To Match Wall Colors.
Front: Helvetica Neue Medium
- 1/8" Thk Stainless Steel Threaded Rods. 1-5/8" Min. Embedment Depth
- 15" High 1/4" Deep Cut Aluminum Piece, Painted. Finish: Dark Bronze.
</t>
    </r>
    <r>
      <rPr>
        <b/>
        <sz val="12"/>
        <rFont val="Calibri"/>
        <family val="2"/>
        <scheme val="minor"/>
      </rPr>
      <t>Lettering: "BOARD ROOM I J.VARD LOOMIS"</t>
    </r>
  </si>
  <si>
    <r>
      <rPr>
        <b/>
        <sz val="12"/>
        <rFont val="Calibri"/>
        <family val="2"/>
        <scheme val="minor"/>
      </rPr>
      <t>Signage - 11</t>
    </r>
    <r>
      <rPr>
        <sz val="12"/>
        <rFont val="Calibri"/>
        <family val="2"/>
        <scheme val="minor"/>
      </rPr>
      <t xml:space="preserve">
- 24" High 1/2" Deep Cut Aluminum Letter, Painted 
Finish: Dark Bronze. Wall Mounted To Be Secured With 1/8" (3) Min. Stainless Steel Threaded Rod And Adhesive With 1/2" Deep Aluminum Spacers , To Match Wall Colors Cuesta College Text Per Cuesta Standards.
- 1/8" Thk Stainless Steel Threaded Rods. 1-5/8" Min. Embedment Depth
</t>
    </r>
    <r>
      <rPr>
        <b/>
        <sz val="12"/>
        <rFont val="Calibri"/>
        <family val="2"/>
        <scheme val="minor"/>
      </rPr>
      <t>Lettering: "CUESTA COLLEGE"</t>
    </r>
  </si>
  <si>
    <r>
      <rPr>
        <b/>
        <sz val="12"/>
        <rFont val="Calibri"/>
        <family val="2"/>
        <scheme val="minor"/>
      </rPr>
      <t>Signage - 11 &amp; 12</t>
    </r>
    <r>
      <rPr>
        <sz val="12"/>
        <rFont val="Calibri"/>
        <family val="2"/>
        <scheme val="minor"/>
      </rPr>
      <t xml:space="preserve">
- 20" High 1/2" Deep Cut Aluminum Letter, Painted 
Finish: Dark Bronze. Wall Mounted To Be Secured With 1/8" (3) Min. Stainless Steel Threaded Rod And Adhesive With 1/2" Deep Aluminum Spacers , To Match Wall Colors Cuesta College Text Per Cuesta Standards.
Front: Helvetica Neue Medium
- 1/8" Thk Stainless Steel Threaded Rods. 1-5/8" Min. Embedment Depth
</t>
    </r>
    <r>
      <rPr>
        <b/>
        <sz val="12"/>
        <rFont val="Calibri"/>
        <family val="2"/>
        <scheme val="minor"/>
      </rPr>
      <t>Lettering: "CAMPUS CENTER"</t>
    </r>
  </si>
  <si>
    <t>INTERIOR SIGNAGES</t>
  </si>
  <si>
    <t>A-978</t>
  </si>
  <si>
    <r>
      <rPr>
        <b/>
        <sz val="12"/>
        <rFont val="Calibri"/>
        <family val="2"/>
        <scheme val="minor"/>
      </rPr>
      <t>President's Office Signage</t>
    </r>
    <r>
      <rPr>
        <sz val="12"/>
        <rFont val="Calibri"/>
        <family val="2"/>
        <scheme val="minor"/>
      </rPr>
      <t xml:space="preserve">
- 3" High 1/4" Deep Cut Out Aluminum Letter, Paint Finish Dark Bronze, Drill And Tap Back Of Letters Secured To Wall With Stainless Steel Threaded Backpins Set In Continuous Bed Of Silicone Adhesive.
Font: Helvetica  Neue Medium
- 1"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"PRESIDENT'S OFFICE - OFICINA DEL PRESIDENTE"</t>
    </r>
  </si>
  <si>
    <r>
      <rPr>
        <b/>
        <sz val="12"/>
        <rFont val="Calibri"/>
        <family val="2"/>
        <scheme val="minor"/>
      </rPr>
      <t>Counseling Signage</t>
    </r>
    <r>
      <rPr>
        <sz val="12"/>
        <rFont val="Calibri"/>
        <family val="2"/>
        <scheme val="minor"/>
      </rPr>
      <t xml:space="preserve">
- 8" High 1/4" Deep Cut Out Aluminum Letter, Paint Finish Dark Bronze, Drill And Tap Back Of Letters Secured To Wall With Stainless Steel Threaded Backpins Set In Continuous Bed Of Silicone Adhesive.
Font: Helvetica  Neue Medium
- 1" Thk 12"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"COUNSELING I ASESOREMIENTO"</t>
    </r>
  </si>
  <si>
    <r>
      <rPr>
        <b/>
        <sz val="12"/>
        <rFont val="Calibri"/>
        <family val="2"/>
        <scheme val="minor"/>
      </rPr>
      <t>Student Service Signage</t>
    </r>
    <r>
      <rPr>
        <sz val="12"/>
        <rFont val="Calibri"/>
        <family val="2"/>
        <scheme val="minor"/>
      </rPr>
      <t xml:space="preserve">
- 8" High 1/4" Deep Cut Out Aluminum Letter, Paint Finish Dark Bronze, Drill And Tap Back Of Letters Secured To Wall With Stainless Steel Threaded Backpins Set In Continuous Bed Of Silicone Adhesive.
Font: Helvetica  Neue Medium
- 1" Thk 12"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"STUDENT SERVICES I SERVICIOS ESTUDIANTILES"</t>
    </r>
  </si>
  <si>
    <r>
      <rPr>
        <b/>
        <sz val="12"/>
        <rFont val="Calibri"/>
        <family val="2"/>
        <scheme val="minor"/>
      </rPr>
      <t>Casher Signage</t>
    </r>
    <r>
      <rPr>
        <sz val="12"/>
        <rFont val="Calibri"/>
        <family val="2"/>
        <scheme val="minor"/>
      </rPr>
      <t xml:space="preserve">
- 8" High 1/4" Deep Cut Out Aluminum Letter, Paint Finish Dark Bronze, Drill And Tap Back Of Letters Secured To Wall With Stainless Steel Threaded Backpins Set In Continuous Bed Of Silicone Adhesive.
Font: Helvetica  Neue Medium
- 1"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"CASHIER - CAJERO"</t>
    </r>
  </si>
  <si>
    <r>
      <rPr>
        <b/>
        <sz val="12"/>
        <rFont val="Calibri"/>
        <family val="2"/>
        <scheme val="minor"/>
      </rPr>
      <t>Enrollement Services Signage</t>
    </r>
    <r>
      <rPr>
        <sz val="12"/>
        <rFont val="Calibri"/>
        <family val="2"/>
        <scheme val="minor"/>
      </rPr>
      <t xml:space="preserve">
- 8" High 1/4" Deep Cut Out Aluminum Letter, Paint Finish Dark Bronze, Drill And Tap Back Of Letters Secured To Wall With Stainless Steel Threaded Backpins Set In Continuous Bed Of Silicone Adhesive.
Font: Helvetica  Neue Medium
- 1"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"ENROLLMENT SERVICES - SERVICIOS DE INSCRIPCION"</t>
    </r>
  </si>
  <si>
    <r>
      <rPr>
        <b/>
        <sz val="12"/>
        <rFont val="Calibri"/>
        <family val="2"/>
        <scheme val="minor"/>
      </rPr>
      <t>Board Room Signage</t>
    </r>
    <r>
      <rPr>
        <sz val="12"/>
        <rFont val="Calibri"/>
        <family val="2"/>
        <scheme val="minor"/>
      </rPr>
      <t xml:space="preserve">
- 8" High 1/4" Deep Cut Out Aluminum Letter, Paint Finish Dark Bronze, Drill And Tap Back Of Letters Secured To Wall With Stainless Steel Threaded Backpins Set In Continuous Bed Of Silicone Adhesive.
Font: Helvetica  Neue Medium
- 1"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"BOARD ROOM - J. VARD LOOMIS"</t>
    </r>
  </si>
  <si>
    <r>
      <rPr>
        <b/>
        <sz val="12"/>
        <rFont val="Calibri"/>
        <family val="2"/>
        <scheme val="minor"/>
      </rPr>
      <t>Fiscal Service Signage</t>
    </r>
    <r>
      <rPr>
        <sz val="12"/>
        <rFont val="Calibri"/>
        <family val="2"/>
        <scheme val="minor"/>
      </rPr>
      <t xml:space="preserve">
- 3" High 1/4" Deep Cut Out Aluminum Letter, Paint Finish Dark Bronze, Drill And Tap Back Of Letters Secured To Wall With Stainless Steel Threaded Backpins Set In Continuous Bed Of Silicone Adhesive.
Font: Helvetica  Neue Medium
- 1"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"FASCAL SERVICES - SERVICIOS FISCALES"</t>
    </r>
  </si>
  <si>
    <r>
      <rPr>
        <b/>
        <sz val="12"/>
        <rFont val="Calibri"/>
        <family val="2"/>
        <scheme val="minor"/>
      </rPr>
      <t>Foundation Signage</t>
    </r>
    <r>
      <rPr>
        <sz val="12"/>
        <rFont val="Calibri"/>
        <family val="2"/>
        <scheme val="minor"/>
      </rPr>
      <t xml:space="preserve">
- 3" High 1/4" Deep Cut Out Aluminum Letter, Paint Finish Dark Bronze, Drill And Tap Back Of Letters Secured To Wall With Stainless Steel Threaded Backpins Set In Continuous Bed Of Silicone Adhesive.
Font: Helvetica  Neue Medium
- 1" High 1/4" Deep Cut Out Aluminum Bar, Paint Finish 
Dark Bronze, Drill And Tap Back Of Letters Secured To Wall With Stainless Steel Threaded Backpins Set In Continuous Bed Of Silicone Adhesive
- Secure To Wall With #10 1/8" Stainless Steel Threaded Rods Embedment Depth 3/4". And Adhesive, Min. (3) Rods (Backpins) Per Letter.
- Continuous Bed Of Silicone Adhesive
- 1/4" Deep Cut Out Aluminum Spacers, Paint Finished To Match Wall Color. 
</t>
    </r>
    <r>
      <rPr>
        <b/>
        <sz val="12"/>
        <rFont val="Calibri"/>
        <family val="2"/>
        <scheme val="minor"/>
      </rPr>
      <t>Lettering: "FOUNDATION - FUNDACION"</t>
    </r>
  </si>
  <si>
    <t>A-101</t>
  </si>
  <si>
    <t>1/A-976</t>
  </si>
  <si>
    <r>
      <rPr>
        <b/>
        <sz val="12"/>
        <rFont val="Calibri"/>
        <family val="2"/>
        <scheme val="minor"/>
      </rPr>
      <t>10.14C Vehicular Directional Sign</t>
    </r>
    <r>
      <rPr>
        <sz val="12"/>
        <rFont val="Calibri"/>
        <family val="2"/>
        <scheme val="minor"/>
      </rPr>
      <t xml:space="preserve">
</t>
    </r>
    <r>
      <rPr>
        <b/>
        <sz val="12"/>
        <rFont val="Calibri"/>
        <family val="2"/>
        <scheme val="minor"/>
      </rPr>
      <t>Sign Cabinet:</t>
    </r>
    <r>
      <rPr>
        <sz val="12"/>
        <rFont val="Calibri"/>
        <family val="2"/>
        <scheme val="minor"/>
      </rPr>
      <t xml:space="preserve"> Fabricated ¼” Thick Aluminum Sign Cabinet With An Internal Welded Aluminum Angle Structure. Seamless Inappearance. Paint Finish. 
</t>
    </r>
    <r>
      <rPr>
        <b/>
        <sz val="12"/>
        <rFont val="Calibri"/>
        <family val="2"/>
        <scheme val="minor"/>
      </rPr>
      <t>Circle:</t>
    </r>
    <r>
      <rPr>
        <sz val="12"/>
        <rFont val="Calibri"/>
        <family val="2"/>
        <scheme val="minor"/>
      </rPr>
      <t xml:space="preserve"> 1/4” Aluminum Paint Finished All Siges. Secure To Sign Cabinet With Stainless Steel Threaded Backpins (Drill And Tap) And Nuts. Circle Graphics: 4 Color Digital Print With Translucent Inks, Over Reflective White Vinyl. 
</t>
    </r>
    <r>
      <rPr>
        <b/>
        <sz val="12"/>
        <rFont val="Calibri"/>
        <family val="2"/>
        <scheme val="minor"/>
      </rPr>
      <t>Letters, Arrows, And Rules:</t>
    </r>
    <r>
      <rPr>
        <sz val="12"/>
        <rFont val="Calibri"/>
        <family val="2"/>
        <scheme val="minor"/>
      </rPr>
      <t xml:space="preserve"> Applied 3M Reflective Vinyl Over Sign Cabinet Face. Note: Message Shown On Drawing Is Typical.
</t>
    </r>
    <r>
      <rPr>
        <b/>
        <sz val="12"/>
        <rFont val="Calibri"/>
        <family val="2"/>
        <scheme val="minor"/>
      </rPr>
      <t>Vertical Support Structure:</t>
    </r>
    <r>
      <rPr>
        <sz val="12"/>
        <rFont val="Calibri"/>
        <family val="2"/>
        <scheme val="minor"/>
      </rPr>
      <t xml:space="preserve">  </t>
    </r>
    <r>
      <rPr>
        <b/>
        <sz val="12"/>
        <rFont val="Calibri"/>
        <family val="2"/>
        <scheme val="minor"/>
      </rPr>
      <t xml:space="preserve">3” x 2” Steel Posts (4'-10"H) </t>
    </r>
    <r>
      <rPr>
        <sz val="12"/>
        <rFont val="Calibri"/>
        <family val="2"/>
        <scheme val="minor"/>
      </rPr>
      <t xml:space="preserve">Embedded In Concrete Footing. Sign Cabinet Aluminum Frame Secured To Steel Posts With Stainless Steel Bolts And Nuts.
</t>
    </r>
    <r>
      <rPr>
        <b/>
        <sz val="12"/>
        <rFont val="Calibri"/>
        <family val="2"/>
        <scheme val="minor"/>
      </rPr>
      <t>Reveal:</t>
    </r>
    <r>
      <rPr>
        <sz val="12"/>
        <rFont val="Calibri"/>
        <family val="2"/>
        <scheme val="minor"/>
      </rPr>
      <t xml:space="preserve"> 1/2" X 1/2" Deep Reaveal. Paint Finish
</t>
    </r>
    <r>
      <rPr>
        <b/>
        <sz val="12"/>
        <rFont val="Calibri"/>
        <family val="2"/>
        <scheme val="minor"/>
      </rPr>
      <t/>
    </r>
  </si>
  <si>
    <t>2/A-975</t>
  </si>
  <si>
    <r>
      <rPr>
        <b/>
        <sz val="12"/>
        <rFont val="Calibri"/>
        <family val="2"/>
        <scheme val="minor"/>
      </rPr>
      <t>10.14D Street Name Sign</t>
    </r>
    <r>
      <rPr>
        <sz val="12"/>
        <rFont val="Calibri"/>
        <family val="2"/>
        <scheme val="minor"/>
      </rPr>
      <t xml:space="preserve">
</t>
    </r>
    <r>
      <rPr>
        <b/>
        <sz val="12"/>
        <rFont val="Calibri"/>
        <family val="2"/>
        <scheme val="minor"/>
      </rPr>
      <t>Sign Blade:</t>
    </r>
    <r>
      <rPr>
        <sz val="12"/>
        <rFont val="Calibri"/>
        <family val="2"/>
        <scheme val="minor"/>
      </rPr>
      <t xml:space="preserve"> 1/4" Thick Aluminum Panel Welded To A 1/4” Thick Aluminum Mounting Flange. Paint Finsihed. Flange Attached To Post With Stainless Steel Screws. 
- </t>
    </r>
    <r>
      <rPr>
        <b/>
        <sz val="12"/>
        <rFont val="Calibri"/>
        <family val="2"/>
        <scheme val="minor"/>
      </rPr>
      <t xml:space="preserve">3" x 3" Square Steel Post (8'-5"H) </t>
    </r>
    <r>
      <rPr>
        <sz val="12"/>
        <rFont val="Calibri"/>
        <family val="2"/>
        <scheme val="minor"/>
      </rPr>
      <t>With a Flat Cap Welded at Top. Paint Finish Over 2-1/2" x 2-1/2" Steel Arm Embedded in Concrete Footing
- 1/4" Thk Aluminum Panel
- Flat Head Counter Sunk Stainless Steel Screws. Painte Finish Head To Match Sign Blade Color</t>
    </r>
  </si>
  <si>
    <t>1/A-975</t>
  </si>
  <si>
    <r>
      <rPr>
        <b/>
        <sz val="12"/>
        <rFont val="Calibri"/>
        <family val="2"/>
        <scheme val="minor"/>
      </rPr>
      <t>10.14E Pedestrain Directional/Directory Sign
Sign Cabinet:</t>
    </r>
    <r>
      <rPr>
        <sz val="12"/>
        <rFont val="Calibri"/>
        <family val="2"/>
        <scheme val="minor"/>
      </rPr>
      <t xml:space="preserve"> Fabricated from 1/8" Thk. Aluminum, Welded Concstraction, Seamless in Apperance Paint Finished Internal Aluminum Angle Structure.
</t>
    </r>
    <r>
      <rPr>
        <b/>
        <sz val="12"/>
        <rFont val="Calibri"/>
        <family val="2"/>
        <scheme val="minor"/>
      </rPr>
      <t>College Logo And "Directory" Text:</t>
    </r>
    <r>
      <rPr>
        <sz val="12"/>
        <rFont val="Calibri"/>
        <family val="2"/>
        <scheme val="minor"/>
      </rPr>
      <t xml:space="preserve"> Individually Cut White Vinyl Lettering Applied To Sign Cabinet Face, With Clear Coat.
</t>
    </r>
    <r>
      <rPr>
        <b/>
        <sz val="12"/>
        <rFont val="Calibri"/>
        <family val="2"/>
        <scheme val="minor"/>
      </rPr>
      <t>Map Cabinet:</t>
    </r>
    <r>
      <rPr>
        <sz val="12"/>
        <rFont val="Calibri"/>
        <family val="2"/>
        <scheme val="minor"/>
      </rPr>
      <t xml:space="preserve"> Aluminum Frame With Locking Door.
Clear Tempered Glass Window.
</t>
    </r>
    <r>
      <rPr>
        <b/>
        <sz val="12"/>
        <rFont val="Calibri"/>
        <family val="2"/>
        <scheme val="minor"/>
      </rPr>
      <t>Size:</t>
    </r>
    <r>
      <rPr>
        <sz val="12"/>
        <rFont val="Calibri"/>
        <family val="2"/>
        <scheme val="minor"/>
      </rPr>
      <t xml:space="preserve"> 2'-2"Wide x 6-1/2"Deep x 6'-9 1/2"High</t>
    </r>
  </si>
  <si>
    <t>2/A-976</t>
  </si>
  <si>
    <r>
      <rPr>
        <b/>
        <sz val="12"/>
        <rFont val="Calibri"/>
        <family val="2"/>
        <scheme val="minor"/>
      </rPr>
      <t>10.14K Campus Directory/Info Kiosk Sign
Directory Sign Cabinet:</t>
    </r>
    <r>
      <rPr>
        <sz val="12"/>
        <rFont val="Calibri"/>
        <family val="2"/>
        <scheme val="minor"/>
      </rPr>
      <t xml:space="preserve"> Interior Illuminated Sign 
Cabinet. Fabricated 1/8" Thick Aluminum Sign Cabinet, Seamless Welded Aluminum Angle Internal Structure.  Cabinet Has A Front Opening Display Case That Houses A Site Plan. Paint Finish.
</t>
    </r>
    <r>
      <rPr>
        <b/>
        <sz val="12"/>
        <rFont val="Calibri"/>
        <family val="2"/>
        <scheme val="minor"/>
      </rPr>
      <t>Campus Logo And “Directory” Letters:</t>
    </r>
    <r>
      <rPr>
        <sz val="12"/>
        <rFont val="Calibri"/>
        <family val="2"/>
        <scheme val="minor"/>
      </rPr>
      <t xml:space="preserve"> Applied Opaque Vinyl Over Cabinet
</t>
    </r>
    <r>
      <rPr>
        <b/>
        <sz val="12"/>
        <rFont val="Calibri"/>
        <family val="2"/>
        <scheme val="minor"/>
      </rPr>
      <t>Door Frame:</t>
    </r>
    <r>
      <rPr>
        <sz val="12"/>
        <rFont val="Calibri"/>
        <family val="2"/>
        <scheme val="minor"/>
      </rPr>
      <t xml:space="preserve"> Extruded Aluminum Door Frame With 
Lock, Tempered Glass, And Concealed Hinge. Cabinet 
Edges Should Be Square, Not Rounded. Interior And Exterior Of Door Paint Finishe. Teems Inc. Ultra Directory Low Profile Or Equal.
</t>
    </r>
    <r>
      <rPr>
        <b/>
        <sz val="12"/>
        <rFont val="Calibri"/>
        <family val="2"/>
        <scheme val="minor"/>
      </rPr>
      <t>Vertical Support Structure:</t>
    </r>
    <r>
      <rPr>
        <sz val="12"/>
        <rFont val="Calibri"/>
        <family val="2"/>
        <scheme val="minor"/>
      </rPr>
      <t xml:space="preserve"> </t>
    </r>
    <r>
      <rPr>
        <b/>
        <sz val="12"/>
        <rFont val="Calibri"/>
        <family val="2"/>
        <scheme val="minor"/>
      </rPr>
      <t>(2) 3” x 2”Steel Post (7'-6 1/2" High)</t>
    </r>
    <r>
      <rPr>
        <sz val="12"/>
        <rFont val="Calibri"/>
        <family val="2"/>
        <scheme val="minor"/>
      </rPr>
      <t xml:space="preserve"> Secure To Concrete Footing With Stainless Streel “J” Bolts Embedded In Concrete Footing.
</t>
    </r>
    <r>
      <rPr>
        <b/>
        <sz val="12"/>
        <rFont val="Calibri"/>
        <family val="2"/>
        <scheme val="minor"/>
      </rPr>
      <t>Reveal:</t>
    </r>
    <r>
      <rPr>
        <sz val="12"/>
        <rFont val="Calibri"/>
        <family val="2"/>
        <scheme val="minor"/>
      </rPr>
      <t xml:space="preserve"> 1/2" X 1/2" Deep Reaveal. Paint Finish</t>
    </r>
  </si>
  <si>
    <t>3/A-975</t>
  </si>
  <si>
    <r>
      <rPr>
        <b/>
        <sz val="12"/>
        <rFont val="Calibri"/>
        <family val="2"/>
        <scheme val="minor"/>
      </rPr>
      <t xml:space="preserve">10.14L Parking Permit Sign
Sign Cabinet: </t>
    </r>
    <r>
      <rPr>
        <sz val="12"/>
        <rFont val="Calibri"/>
        <family val="2"/>
        <scheme val="minor"/>
      </rPr>
      <t xml:space="preserve">Fabricated 1/8" Thick Welded Aluminum Cabinet, Seamless Appearance. Cabinet Will Have A Tube (Arm) Welded Inside Cabinet Secures To Post With Set Screws.
</t>
    </r>
    <r>
      <rPr>
        <b/>
        <sz val="12"/>
        <rFont val="Calibri"/>
        <family val="2"/>
        <scheme val="minor"/>
      </rPr>
      <t xml:space="preserve">Arm: </t>
    </r>
    <r>
      <rPr>
        <sz val="12"/>
        <rFont val="Calibri"/>
        <family val="2"/>
        <scheme val="minor"/>
      </rPr>
      <t xml:space="preserve">@ Back Side Square Tube Of Smaller Section Than Sign Post Extends Through Sign Cabinet Into Sign Post (Sleeve).Section Of Tube Inside Sign Cabinet (Arm), To Be Welded In Place
Applied 3M Reflective Vinyl Over Paint Finsihed Sign Cabinet. Logo Not Reflective
- </t>
    </r>
    <r>
      <rPr>
        <b/>
        <sz val="12"/>
        <rFont val="Calibri"/>
        <family val="2"/>
        <scheme val="minor"/>
      </rPr>
      <t xml:space="preserve">3" x 3" Square Steel Post (11'-0"H) </t>
    </r>
    <r>
      <rPr>
        <sz val="12"/>
        <rFont val="Calibri"/>
        <family val="2"/>
        <scheme val="minor"/>
      </rPr>
      <t>With a Flat Cap Welded at Top. Paint Finish Over 2-1/2" x 2-1/2" Steel Arm Embedded in Concrete Footing
- Stainless Steel Countersunk Set Screw
- Parking Ticket Kiosk</t>
    </r>
  </si>
  <si>
    <t>SITE SIGNAGES W/ POSTS</t>
  </si>
  <si>
    <t>DECORATIVE METAL REVEAL</t>
  </si>
  <si>
    <t>ALUMINIUM COLUMN COVER</t>
  </si>
  <si>
    <t>Structural Steel Sub Total</t>
  </si>
  <si>
    <t>Metal Fabrications Sub Total</t>
  </si>
  <si>
    <t xml:space="preserve">Metal Fabrications </t>
  </si>
  <si>
    <t>A105</t>
  </si>
  <si>
    <t>5/A953</t>
  </si>
  <si>
    <r>
      <rPr>
        <b/>
        <sz val="12"/>
        <rFont val="Calibri"/>
        <family val="2"/>
        <scheme val="minor"/>
      </rPr>
      <t>05.58A - Aluminum Column Cover (Exterior)</t>
    </r>
    <r>
      <rPr>
        <sz val="12"/>
        <rFont val="Calibri"/>
        <family val="2"/>
        <scheme val="minor"/>
      </rPr>
      <t xml:space="preserve">
- 1/8" Thk. Prefinished Aluminum Column Cladding
- Z-Furring Channels Attached To ColumnW/ #10SMS Fasteners
- Backer Rod &amp; Sealant
- Shim</t>
    </r>
  </si>
  <si>
    <r>
      <rPr>
        <b/>
        <sz val="12"/>
        <rFont val="Calibri"/>
        <family val="2"/>
        <scheme val="minor"/>
      </rPr>
      <t>05.58A - Aluminum Column Cover (Interior)</t>
    </r>
    <r>
      <rPr>
        <sz val="12"/>
        <rFont val="Calibri"/>
        <family val="2"/>
        <scheme val="minor"/>
      </rPr>
      <t xml:space="preserve">
- 1/8" Thk. Prefinished Aluminum Column Cladding
- Z-Furring Channels Attached To ColumnW/ 1/4" Self Drilling Screws @ 12"O.C.
-5/8" Channel In Sealant
- Shim</t>
    </r>
  </si>
  <si>
    <t>A201A</t>
  </si>
  <si>
    <t>A650</t>
  </si>
  <si>
    <t>RAMP RAILINGS</t>
  </si>
  <si>
    <t>3/A124</t>
  </si>
  <si>
    <t>A103</t>
  </si>
  <si>
    <r>
      <rPr>
        <b/>
        <sz val="12"/>
        <rFont val="Calibri"/>
        <family val="2"/>
        <scheme val="minor"/>
      </rPr>
      <t>05.09A 36" High Ramp Railing As;</t>
    </r>
    <r>
      <rPr>
        <sz val="12"/>
        <rFont val="Calibri"/>
        <family val="2"/>
        <scheme val="minor"/>
      </rPr>
      <t xml:space="preserve">
- 1"x2" Flat Bar Brushed SS Handrail
- 2" SS Post Cap 
- 1-1/2" O.D. Tubing Post Galvanized &amp; Painted</t>
    </r>
  </si>
  <si>
    <t>-</t>
  </si>
  <si>
    <r>
      <rPr>
        <b/>
        <sz val="12"/>
        <rFont val="Calibri"/>
        <family val="2"/>
        <scheme val="minor"/>
      </rPr>
      <t xml:space="preserve">Column C1
Section: </t>
    </r>
    <r>
      <rPr>
        <sz val="12"/>
        <rFont val="Calibri"/>
        <family val="2"/>
        <scheme val="minor"/>
      </rPr>
      <t xml:space="preserve">HSS 6X6X3/8
</t>
    </r>
    <r>
      <rPr>
        <b/>
        <sz val="12"/>
        <rFont val="Calibri"/>
        <family val="2"/>
        <scheme val="minor"/>
      </rPr>
      <t>Counts:</t>
    </r>
    <r>
      <rPr>
        <sz val="12"/>
        <rFont val="Calibri"/>
        <family val="2"/>
        <scheme val="minor"/>
      </rPr>
      <t xml:space="preserve"> 09 EA</t>
    </r>
  </si>
  <si>
    <t>COLUMNS</t>
  </si>
  <si>
    <r>
      <rPr>
        <b/>
        <sz val="12"/>
        <rFont val="Calibri"/>
        <family val="2"/>
        <scheme val="minor"/>
      </rPr>
      <t xml:space="preserve">Column C2
Section: </t>
    </r>
    <r>
      <rPr>
        <sz val="12"/>
        <rFont val="Calibri"/>
        <family val="2"/>
        <scheme val="minor"/>
      </rPr>
      <t xml:space="preserve">HSS 8X6X5/8
</t>
    </r>
    <r>
      <rPr>
        <b/>
        <sz val="12"/>
        <rFont val="Calibri"/>
        <family val="2"/>
        <scheme val="minor"/>
      </rPr>
      <t>Counts:</t>
    </r>
    <r>
      <rPr>
        <sz val="12"/>
        <rFont val="Calibri"/>
        <family val="2"/>
        <scheme val="minor"/>
      </rPr>
      <t xml:space="preserve"> 11 EA</t>
    </r>
  </si>
  <si>
    <r>
      <rPr>
        <b/>
        <sz val="12"/>
        <rFont val="Calibri"/>
        <family val="2"/>
        <scheme val="minor"/>
      </rPr>
      <t xml:space="preserve">Column C4 
Section: </t>
    </r>
    <r>
      <rPr>
        <sz val="12"/>
        <rFont val="Calibri"/>
        <family val="2"/>
        <scheme val="minor"/>
      </rPr>
      <t xml:space="preserve">HSS 12X12X1/2
</t>
    </r>
    <r>
      <rPr>
        <b/>
        <sz val="12"/>
        <rFont val="Calibri"/>
        <family val="2"/>
        <scheme val="minor"/>
      </rPr>
      <t xml:space="preserve">Counts: </t>
    </r>
    <r>
      <rPr>
        <sz val="12"/>
        <rFont val="Calibri"/>
        <family val="2"/>
        <scheme val="minor"/>
      </rPr>
      <t>03 EA</t>
    </r>
  </si>
  <si>
    <r>
      <rPr>
        <b/>
        <sz val="12"/>
        <rFont val="Calibri"/>
        <family val="2"/>
        <scheme val="minor"/>
      </rPr>
      <t xml:space="preserve">Column C3 
Section: </t>
    </r>
    <r>
      <rPr>
        <sz val="12"/>
        <rFont val="Calibri"/>
        <family val="2"/>
        <scheme val="minor"/>
      </rPr>
      <t xml:space="preserve">HSS 8X8X3/8
</t>
    </r>
    <r>
      <rPr>
        <b/>
        <sz val="12"/>
        <rFont val="Calibri"/>
        <family val="2"/>
        <scheme val="minor"/>
      </rPr>
      <t xml:space="preserve">Counts: </t>
    </r>
    <r>
      <rPr>
        <sz val="12"/>
        <rFont val="Calibri"/>
        <family val="2"/>
        <scheme val="minor"/>
      </rPr>
      <t>10 EA</t>
    </r>
  </si>
  <si>
    <r>
      <rPr>
        <b/>
        <sz val="12"/>
        <rFont val="Calibri"/>
        <family val="2"/>
        <scheme val="minor"/>
      </rPr>
      <t xml:space="preserve">Column C5
Section: </t>
    </r>
    <r>
      <rPr>
        <sz val="12"/>
        <rFont val="Calibri"/>
        <family val="2"/>
        <scheme val="minor"/>
      </rPr>
      <t xml:space="preserve">W-12X72
</t>
    </r>
    <r>
      <rPr>
        <b/>
        <sz val="12"/>
        <rFont val="Calibri"/>
        <family val="2"/>
        <scheme val="minor"/>
      </rPr>
      <t xml:space="preserve">Counts: </t>
    </r>
    <r>
      <rPr>
        <sz val="12"/>
        <rFont val="Calibri"/>
        <family val="2"/>
        <scheme val="minor"/>
      </rPr>
      <t xml:space="preserve"> 02 EA</t>
    </r>
  </si>
  <si>
    <t>MISC. STEEL</t>
  </si>
  <si>
    <r>
      <rPr>
        <b/>
        <sz val="12"/>
        <rFont val="Calibri"/>
        <family val="2"/>
        <scheme val="minor"/>
      </rPr>
      <t xml:space="preserve">Misc. Columns 
Section: </t>
    </r>
    <r>
      <rPr>
        <sz val="12"/>
        <rFont val="Calibri"/>
        <family val="2"/>
        <scheme val="minor"/>
      </rPr>
      <t>HSS 12X4X1/4</t>
    </r>
    <r>
      <rPr>
        <b/>
        <sz val="12"/>
        <rFont val="Calibri"/>
        <family val="2"/>
        <scheme val="minor"/>
      </rPr>
      <t xml:space="preserve">
Counts: </t>
    </r>
    <r>
      <rPr>
        <sz val="12"/>
        <rFont val="Calibri"/>
        <family val="2"/>
        <scheme val="minor"/>
      </rPr>
      <t xml:space="preserve"> 01 EA</t>
    </r>
  </si>
  <si>
    <r>
      <rPr>
        <b/>
        <sz val="12"/>
        <rFont val="Calibri"/>
        <family val="2"/>
        <scheme val="minor"/>
      </rPr>
      <t xml:space="preserve">Misc. Columns 
Section: </t>
    </r>
    <r>
      <rPr>
        <sz val="12"/>
        <rFont val="Calibri"/>
        <family val="2"/>
        <scheme val="minor"/>
      </rPr>
      <t>HSS 20X4X1/4</t>
    </r>
    <r>
      <rPr>
        <b/>
        <sz val="12"/>
        <rFont val="Calibri"/>
        <family val="2"/>
        <scheme val="minor"/>
      </rPr>
      <t xml:space="preserve">
Counts:  </t>
    </r>
    <r>
      <rPr>
        <sz val="12"/>
        <rFont val="Calibri"/>
        <family val="2"/>
        <scheme val="minor"/>
      </rPr>
      <t>02 EA</t>
    </r>
  </si>
  <si>
    <r>
      <rPr>
        <b/>
        <sz val="12"/>
        <rFont val="Calibri"/>
        <family val="2"/>
        <scheme val="minor"/>
      </rPr>
      <t xml:space="preserve">Misc. Columns 
Section: </t>
    </r>
    <r>
      <rPr>
        <sz val="12"/>
        <rFont val="Calibri"/>
        <family val="2"/>
        <scheme val="minor"/>
      </rPr>
      <t>HSS 4X4X1/4</t>
    </r>
    <r>
      <rPr>
        <b/>
        <sz val="12"/>
        <rFont val="Calibri"/>
        <family val="2"/>
        <scheme val="minor"/>
      </rPr>
      <t xml:space="preserve">
Counts:  </t>
    </r>
    <r>
      <rPr>
        <sz val="12"/>
        <rFont val="Calibri"/>
        <family val="2"/>
        <scheme val="minor"/>
      </rPr>
      <t>02 EA</t>
    </r>
  </si>
  <si>
    <r>
      <rPr>
        <b/>
        <sz val="12"/>
        <rFont val="Calibri"/>
        <family val="2"/>
        <scheme val="minor"/>
      </rPr>
      <t xml:space="preserve">Misc. Columns 
Section: </t>
    </r>
    <r>
      <rPr>
        <sz val="12"/>
        <rFont val="Calibri"/>
        <family val="2"/>
        <scheme val="minor"/>
      </rPr>
      <t>HSS 8X8X3/8</t>
    </r>
    <r>
      <rPr>
        <b/>
        <sz val="12"/>
        <rFont val="Calibri"/>
        <family val="2"/>
        <scheme val="minor"/>
      </rPr>
      <t xml:space="preserve">
Counts:  </t>
    </r>
    <r>
      <rPr>
        <sz val="12"/>
        <rFont val="Calibri"/>
        <family val="2"/>
        <scheme val="minor"/>
      </rPr>
      <t>02 EA</t>
    </r>
  </si>
  <si>
    <r>
      <rPr>
        <b/>
        <sz val="12"/>
        <rFont val="Calibri"/>
        <family val="2"/>
        <scheme val="minor"/>
      </rPr>
      <t xml:space="preserve">Column C1 
Section: </t>
    </r>
    <r>
      <rPr>
        <sz val="12"/>
        <rFont val="Calibri"/>
        <family val="2"/>
        <scheme val="minor"/>
      </rPr>
      <t xml:space="preserve">HSS 6X6X3/8
</t>
    </r>
    <r>
      <rPr>
        <b/>
        <sz val="12"/>
        <rFont val="Calibri"/>
        <family val="2"/>
        <scheme val="minor"/>
      </rPr>
      <t>Counts:</t>
    </r>
    <r>
      <rPr>
        <sz val="12"/>
        <rFont val="Calibri"/>
        <family val="2"/>
        <scheme val="minor"/>
      </rPr>
      <t xml:space="preserve"> 03 EA</t>
    </r>
  </si>
  <si>
    <r>
      <rPr>
        <b/>
        <sz val="12"/>
        <rFont val="Calibri"/>
        <family val="2"/>
        <scheme val="minor"/>
      </rPr>
      <t xml:space="preserve">Column C2
Section: </t>
    </r>
    <r>
      <rPr>
        <sz val="12"/>
        <rFont val="Calibri"/>
        <family val="2"/>
        <scheme val="minor"/>
      </rPr>
      <t xml:space="preserve">HSS 8X6X5/8
</t>
    </r>
    <r>
      <rPr>
        <b/>
        <sz val="12"/>
        <rFont val="Calibri"/>
        <family val="2"/>
        <scheme val="minor"/>
      </rPr>
      <t xml:space="preserve">Counts: </t>
    </r>
    <r>
      <rPr>
        <sz val="12"/>
        <rFont val="Calibri"/>
        <family val="2"/>
        <scheme val="minor"/>
      </rPr>
      <t>11 EA</t>
    </r>
  </si>
  <si>
    <r>
      <rPr>
        <b/>
        <sz val="12"/>
        <rFont val="Calibri"/>
        <family val="2"/>
        <scheme val="minor"/>
      </rPr>
      <t xml:space="preserve">Column C3 
Section: </t>
    </r>
    <r>
      <rPr>
        <sz val="12"/>
        <rFont val="Calibri"/>
        <family val="2"/>
        <scheme val="minor"/>
      </rPr>
      <t xml:space="preserve">HSS 8X8X3/8
</t>
    </r>
    <r>
      <rPr>
        <b/>
        <sz val="12"/>
        <rFont val="Calibri"/>
        <family val="2"/>
        <scheme val="minor"/>
      </rPr>
      <t>Counts:</t>
    </r>
    <r>
      <rPr>
        <sz val="12"/>
        <rFont val="Calibri"/>
        <family val="2"/>
        <scheme val="minor"/>
      </rPr>
      <t xml:space="preserve"> 08 EA</t>
    </r>
  </si>
  <si>
    <r>
      <rPr>
        <b/>
        <sz val="12"/>
        <rFont val="Calibri"/>
        <family val="2"/>
        <scheme val="minor"/>
      </rPr>
      <t xml:space="preserve">Column C5 (02 EA.)
Section: </t>
    </r>
    <r>
      <rPr>
        <sz val="12"/>
        <rFont val="Calibri"/>
        <family val="2"/>
        <scheme val="minor"/>
      </rPr>
      <t xml:space="preserve">W-12X72
</t>
    </r>
    <r>
      <rPr>
        <b/>
        <sz val="12"/>
        <rFont val="Calibri"/>
        <family val="2"/>
        <scheme val="minor"/>
      </rPr>
      <t xml:space="preserve">Counts: </t>
    </r>
    <r>
      <rPr>
        <sz val="12"/>
        <rFont val="Calibri"/>
        <family val="2"/>
        <scheme val="minor"/>
      </rPr>
      <t>02 EA</t>
    </r>
  </si>
  <si>
    <r>
      <rPr>
        <b/>
        <sz val="12"/>
        <rFont val="Calibri"/>
        <family val="2"/>
        <scheme val="minor"/>
      </rPr>
      <t>Roof Posts RP</t>
    </r>
    <r>
      <rPr>
        <sz val="12"/>
        <rFont val="Calibri"/>
        <family val="2"/>
        <scheme val="minor"/>
      </rPr>
      <t xml:space="preserve">
</t>
    </r>
    <r>
      <rPr>
        <b/>
        <sz val="12"/>
        <rFont val="Calibri"/>
        <family val="2"/>
        <scheme val="minor"/>
      </rPr>
      <t xml:space="preserve">Section: </t>
    </r>
    <r>
      <rPr>
        <sz val="12"/>
        <rFont val="Calibri"/>
        <family val="2"/>
        <scheme val="minor"/>
      </rPr>
      <t xml:space="preserve">HSS6X6X3/8
</t>
    </r>
    <r>
      <rPr>
        <b/>
        <sz val="12"/>
        <rFont val="Calibri"/>
        <family val="2"/>
        <scheme val="minor"/>
      </rPr>
      <t xml:space="preserve">Counts: </t>
    </r>
    <r>
      <rPr>
        <sz val="12"/>
        <rFont val="Calibri"/>
        <family val="2"/>
        <scheme val="minor"/>
      </rPr>
      <t xml:space="preserve"> 23 EA</t>
    </r>
  </si>
  <si>
    <r>
      <t xml:space="preserve">Columns
Section: </t>
    </r>
    <r>
      <rPr>
        <sz val="12"/>
        <rFont val="Calibri"/>
        <family val="2"/>
        <scheme val="minor"/>
      </rPr>
      <t xml:space="preserve">W-21X122
</t>
    </r>
    <r>
      <rPr>
        <b/>
        <sz val="12"/>
        <rFont val="Calibri"/>
        <family val="2"/>
        <scheme val="minor"/>
      </rPr>
      <t xml:space="preserve">Counts: </t>
    </r>
    <r>
      <rPr>
        <sz val="12"/>
        <rFont val="Calibri"/>
        <family val="2"/>
        <scheme val="minor"/>
      </rPr>
      <t>04 EA</t>
    </r>
  </si>
  <si>
    <r>
      <t xml:space="preserve">Columns
Section: </t>
    </r>
    <r>
      <rPr>
        <sz val="12"/>
        <rFont val="Calibri"/>
        <family val="2"/>
        <scheme val="minor"/>
      </rPr>
      <t>W-21X111</t>
    </r>
    <r>
      <rPr>
        <b/>
        <sz val="12"/>
        <rFont val="Calibri"/>
        <family val="2"/>
        <scheme val="minor"/>
      </rPr>
      <t xml:space="preserve">
Counts:</t>
    </r>
    <r>
      <rPr>
        <sz val="12"/>
        <rFont val="Calibri"/>
        <family val="2"/>
        <scheme val="minor"/>
      </rPr>
      <t xml:space="preserve"> 07 EA</t>
    </r>
  </si>
  <si>
    <r>
      <t xml:space="preserve">Columns
Section: </t>
    </r>
    <r>
      <rPr>
        <sz val="12"/>
        <rFont val="Calibri"/>
        <family val="2"/>
        <scheme val="minor"/>
      </rPr>
      <t>W-21X73</t>
    </r>
    <r>
      <rPr>
        <b/>
        <sz val="12"/>
        <rFont val="Calibri"/>
        <family val="2"/>
        <scheme val="minor"/>
      </rPr>
      <t xml:space="preserve">
Counts: </t>
    </r>
    <r>
      <rPr>
        <sz val="12"/>
        <rFont val="Calibri"/>
        <family val="2"/>
        <scheme val="minor"/>
      </rPr>
      <t>03 EA</t>
    </r>
  </si>
  <si>
    <r>
      <t xml:space="preserve">Columns
Section: </t>
    </r>
    <r>
      <rPr>
        <sz val="12"/>
        <rFont val="Calibri"/>
        <family val="2"/>
        <scheme val="minor"/>
      </rPr>
      <t>W-21X93</t>
    </r>
    <r>
      <rPr>
        <b/>
        <sz val="12"/>
        <rFont val="Calibri"/>
        <family val="2"/>
        <scheme val="minor"/>
      </rPr>
      <t xml:space="preserve">
Counts: </t>
    </r>
    <r>
      <rPr>
        <sz val="12"/>
        <rFont val="Calibri"/>
        <family val="2"/>
        <scheme val="minor"/>
      </rPr>
      <t>02 EA</t>
    </r>
  </si>
  <si>
    <r>
      <rPr>
        <b/>
        <sz val="12"/>
        <rFont val="Calibri"/>
        <family val="2"/>
        <scheme val="minor"/>
      </rPr>
      <t xml:space="preserve">Columns 
Section: </t>
    </r>
    <r>
      <rPr>
        <sz val="12"/>
        <rFont val="Calibri"/>
        <family val="2"/>
        <scheme val="minor"/>
      </rPr>
      <t>HSS 10X10X1/2</t>
    </r>
    <r>
      <rPr>
        <b/>
        <sz val="12"/>
        <rFont val="Calibri"/>
        <family val="2"/>
        <scheme val="minor"/>
      </rPr>
      <t xml:space="preserve">
Counts: </t>
    </r>
    <r>
      <rPr>
        <sz val="12"/>
        <rFont val="Calibri"/>
        <family val="2"/>
        <scheme val="minor"/>
      </rPr>
      <t xml:space="preserve"> 02 EA</t>
    </r>
  </si>
  <si>
    <r>
      <rPr>
        <b/>
        <sz val="12"/>
        <rFont val="Calibri"/>
        <family val="2"/>
        <scheme val="minor"/>
      </rPr>
      <t xml:space="preserve">Columns
Section: </t>
    </r>
    <r>
      <rPr>
        <sz val="12"/>
        <rFont val="Calibri"/>
        <family val="2"/>
        <scheme val="minor"/>
      </rPr>
      <t xml:space="preserve">HSS 12X4X1/4 </t>
    </r>
    <r>
      <rPr>
        <b/>
        <sz val="12"/>
        <rFont val="Calibri"/>
        <family val="2"/>
        <scheme val="minor"/>
      </rPr>
      <t xml:space="preserve">
Counts:  </t>
    </r>
    <r>
      <rPr>
        <sz val="12"/>
        <rFont val="Calibri"/>
        <family val="2"/>
        <scheme val="minor"/>
      </rPr>
      <t>01 EA</t>
    </r>
  </si>
  <si>
    <r>
      <rPr>
        <b/>
        <sz val="12"/>
        <rFont val="Calibri"/>
        <family val="2"/>
        <scheme val="minor"/>
      </rPr>
      <t xml:space="preserve">Columns 
Section: </t>
    </r>
    <r>
      <rPr>
        <sz val="12"/>
        <rFont val="Calibri"/>
        <family val="2"/>
        <scheme val="minor"/>
      </rPr>
      <t>HSS 20X4X1/4</t>
    </r>
    <r>
      <rPr>
        <b/>
        <sz val="12"/>
        <rFont val="Calibri"/>
        <family val="2"/>
        <scheme val="minor"/>
      </rPr>
      <t xml:space="preserve">
Counts:  </t>
    </r>
    <r>
      <rPr>
        <sz val="12"/>
        <rFont val="Calibri"/>
        <family val="2"/>
        <scheme val="minor"/>
      </rPr>
      <t>02 EA</t>
    </r>
  </si>
  <si>
    <r>
      <rPr>
        <b/>
        <sz val="12"/>
        <rFont val="Calibri"/>
        <family val="2"/>
        <scheme val="minor"/>
      </rPr>
      <t xml:space="preserve">Columns
Section: </t>
    </r>
    <r>
      <rPr>
        <sz val="12"/>
        <rFont val="Calibri"/>
        <family val="2"/>
        <scheme val="minor"/>
      </rPr>
      <t xml:space="preserve">HSS 6X6X3/8 </t>
    </r>
    <r>
      <rPr>
        <b/>
        <sz val="12"/>
        <rFont val="Calibri"/>
        <family val="2"/>
        <scheme val="minor"/>
      </rPr>
      <t xml:space="preserve">
Counts:  </t>
    </r>
    <r>
      <rPr>
        <sz val="12"/>
        <rFont val="Calibri"/>
        <family val="2"/>
        <scheme val="minor"/>
      </rPr>
      <t>01 EA</t>
    </r>
  </si>
  <si>
    <r>
      <rPr>
        <b/>
        <sz val="12"/>
        <rFont val="Calibri"/>
        <family val="2"/>
        <scheme val="minor"/>
      </rPr>
      <t>Columns
Section</t>
    </r>
    <r>
      <rPr>
        <sz val="12"/>
        <rFont val="Calibri"/>
        <family val="2"/>
        <scheme val="minor"/>
      </rPr>
      <t>: HSS 8X8X3/8</t>
    </r>
    <r>
      <rPr>
        <b/>
        <sz val="12"/>
        <rFont val="Calibri"/>
        <family val="2"/>
        <scheme val="minor"/>
      </rPr>
      <t xml:space="preserve">
Counts:  </t>
    </r>
    <r>
      <rPr>
        <sz val="12"/>
        <rFont val="Calibri"/>
        <family val="2"/>
        <scheme val="minor"/>
      </rPr>
      <t>04 EA</t>
    </r>
  </si>
  <si>
    <r>
      <rPr>
        <b/>
        <sz val="12"/>
        <rFont val="Calibri"/>
        <family val="2"/>
        <scheme val="minor"/>
      </rPr>
      <t xml:space="preserve">Column C5
Section: </t>
    </r>
    <r>
      <rPr>
        <sz val="12"/>
        <rFont val="Calibri"/>
        <family val="2"/>
        <scheme val="minor"/>
      </rPr>
      <t xml:space="preserve">W-12X72
</t>
    </r>
    <r>
      <rPr>
        <b/>
        <sz val="12"/>
        <rFont val="Calibri"/>
        <family val="2"/>
        <scheme val="minor"/>
      </rPr>
      <t xml:space="preserve">Counts: </t>
    </r>
    <r>
      <rPr>
        <sz val="12"/>
        <rFont val="Calibri"/>
        <family val="2"/>
        <scheme val="minor"/>
      </rPr>
      <t>02 EA</t>
    </r>
  </si>
  <si>
    <r>
      <rPr>
        <b/>
        <sz val="12"/>
        <rFont val="Calibri"/>
        <family val="2"/>
        <scheme val="minor"/>
      </rPr>
      <t xml:space="preserve">Column C4
Section: </t>
    </r>
    <r>
      <rPr>
        <sz val="12"/>
        <rFont val="Calibri"/>
        <family val="2"/>
        <scheme val="minor"/>
      </rPr>
      <t xml:space="preserve">HSS 12X12X1/2
</t>
    </r>
    <r>
      <rPr>
        <b/>
        <sz val="12"/>
        <rFont val="Calibri"/>
        <family val="2"/>
        <scheme val="minor"/>
      </rPr>
      <t>Counts:</t>
    </r>
    <r>
      <rPr>
        <sz val="12"/>
        <rFont val="Calibri"/>
        <family val="2"/>
        <scheme val="minor"/>
      </rPr>
      <t xml:space="preserve"> 03 EA</t>
    </r>
  </si>
  <si>
    <r>
      <rPr>
        <b/>
        <sz val="12"/>
        <rFont val="Calibri"/>
        <family val="2"/>
        <scheme val="minor"/>
      </rPr>
      <t xml:space="preserve">Column C2
Section: </t>
    </r>
    <r>
      <rPr>
        <sz val="12"/>
        <rFont val="Calibri"/>
        <family val="2"/>
        <scheme val="minor"/>
      </rPr>
      <t xml:space="preserve">HSS 8X6X5/8
</t>
    </r>
    <r>
      <rPr>
        <b/>
        <sz val="12"/>
        <rFont val="Calibri"/>
        <family val="2"/>
        <scheme val="minor"/>
      </rPr>
      <t xml:space="preserve">Counts: </t>
    </r>
    <r>
      <rPr>
        <sz val="12"/>
        <rFont val="Calibri"/>
        <family val="2"/>
        <scheme val="minor"/>
      </rPr>
      <t>04 EA</t>
    </r>
  </si>
  <si>
    <r>
      <rPr>
        <b/>
        <sz val="12"/>
        <rFont val="Calibri"/>
        <family val="2"/>
        <scheme val="minor"/>
      </rPr>
      <t xml:space="preserve">Column C1
Section: </t>
    </r>
    <r>
      <rPr>
        <sz val="12"/>
        <rFont val="Calibri"/>
        <family val="2"/>
        <scheme val="minor"/>
      </rPr>
      <t xml:space="preserve">HSS 6X6X3/8
</t>
    </r>
    <r>
      <rPr>
        <b/>
        <sz val="12"/>
        <rFont val="Calibri"/>
        <family val="2"/>
        <scheme val="minor"/>
      </rPr>
      <t>Counts:</t>
    </r>
    <r>
      <rPr>
        <sz val="12"/>
        <rFont val="Calibri"/>
        <family val="2"/>
        <scheme val="minor"/>
      </rPr>
      <t xml:space="preserve"> 02 EA</t>
    </r>
  </si>
  <si>
    <t>E-mail: estimate@msbestimating.com</t>
  </si>
  <si>
    <t xml:space="preserve">Contact: </t>
  </si>
  <si>
    <t>(305)-813-0053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</si>
</sst>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_(* \(#,##0\);_(* &quot;-&quot;_);_(@_)"/>
    <numFmt numFmtId="44" formatCode="_(&quot;$&quot;* #,##0.00_);_(&quot;$&quot;* \(#,##0.00\);_(&quot;$&quot;* &quot;-&quot;??_);_(@_)"/>
    <numFmt numFmtId="43" formatCode="_(* #,##0.00_);_(* \(#,##0.00\);_(* &quot;-&quot;??_);_(@_)"/>
    <numFmt numFmtId="164" formatCode="&quot;$&quot;#,##0"/>
    <numFmt numFmtId="165" formatCode="_(&quot;$&quot;* #,##0_);_(&quot;$&quot;* \(#,##0\);_(&quot;$&quot;* &quot;-&quot;??_);_(@_)"/>
    <numFmt numFmtId="166" formatCode="_(&quot;$&quot;* #,##0_);_(&quot;$&quot;* \(#,##0\);_(&quot;$&quot;* &quot;-&quot;?_);_(@_)"/>
  </numFmts>
  <fonts count="41"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b/>
      <sz val="12"/>
      <name val="Verdana"/>
      <family val="2"/>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0"/>
      <name val="Arial"/>
      <family val="2"/>
    </font>
    <font>
      <sz val="12"/>
      <name val="Calibri"/>
      <family val="2"/>
      <scheme val="minor"/>
    </font>
    <font>
      <b/>
      <sz val="12"/>
      <name val="Calibri"/>
      <family val="2"/>
      <scheme val="minor"/>
    </font>
    <font>
      <b/>
      <sz val="12"/>
      <color theme="0"/>
      <name val="Calibri"/>
      <family val="2"/>
      <scheme val="minor"/>
    </font>
    <font>
      <u/>
      <sz val="12"/>
      <color theme="10"/>
      <name val="Arial"/>
      <family val="2"/>
    </font>
    <font>
      <sz val="12"/>
      <color theme="0"/>
      <name val="Calibri"/>
      <family val="2"/>
      <scheme val="minor"/>
    </font>
    <font>
      <sz val="12"/>
      <color theme="1"/>
      <name val="Calibri"/>
      <family val="2"/>
      <scheme val="minor"/>
    </font>
    <font>
      <u/>
      <sz val="12"/>
      <color theme="0"/>
      <name val="Arial"/>
      <family val="2"/>
    </font>
    <font>
      <sz val="12"/>
      <name val="Arial"/>
      <family val="2"/>
    </font>
    <font>
      <b/>
      <u/>
      <sz val="12"/>
      <name val="Calibri"/>
      <family val="2"/>
      <scheme val="minor"/>
    </font>
    <font>
      <u/>
      <sz val="12"/>
      <color theme="0"/>
      <name val="Calibri"/>
      <family val="2"/>
      <scheme val="minor"/>
    </font>
    <font>
      <b/>
      <sz val="12"/>
      <color theme="1"/>
      <name val="Verdana"/>
      <family val="2"/>
    </font>
    <font>
      <b/>
      <i/>
      <sz val="12"/>
      <color rgb="FF002060"/>
      <name val="Calibri"/>
      <family val="2"/>
      <scheme val="minor"/>
    </font>
    <font>
      <u/>
      <sz val="12"/>
      <color theme="1"/>
      <name val="Calibri"/>
      <family val="2"/>
      <scheme val="minor"/>
    </font>
    <font>
      <b/>
      <sz val="12"/>
      <color theme="1"/>
      <name val="Calibri"/>
      <family val="2"/>
      <scheme val="minor"/>
    </font>
    <font>
      <b/>
      <sz val="12"/>
      <color rgb="FFFF0000"/>
      <name val="Verdana"/>
      <family val="2"/>
    </font>
    <font>
      <b/>
      <sz val="16"/>
      <name val="Calibri"/>
      <family val="2"/>
      <scheme val="minor"/>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FED2DC"/>
        <bgColor indexed="64"/>
      </patternFill>
    </fill>
    <fill>
      <patternFill patternType="solid">
        <fgColor rgb="FFFFC000"/>
        <bgColor indexed="64"/>
      </patternFill>
    </fill>
    <fill>
      <patternFill patternType="solid">
        <fgColor rgb="FF92D050"/>
        <bgColor indexed="64"/>
      </patternFill>
    </fill>
    <fill>
      <patternFill patternType="solid">
        <fgColor rgb="FFFFFF00"/>
        <bgColor indexed="64"/>
      </patternFill>
    </fill>
  </fills>
  <borders count="4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0">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9" fillId="20" borderId="1" applyNumberFormat="0" applyAlignment="0" applyProtection="0"/>
    <xf numFmtId="0" fontId="10" fillId="21" borderId="2" applyNumberFormat="0" applyAlignment="0" applyProtection="0"/>
    <xf numFmtId="0" fontId="11" fillId="0" borderId="0" applyNumberFormat="0" applyFill="0" applyBorder="0" applyAlignment="0" applyProtection="0"/>
    <xf numFmtId="0" fontId="12" fillId="4"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6" fillId="7" borderId="1" applyNumberFormat="0" applyAlignment="0" applyProtection="0"/>
    <xf numFmtId="0" fontId="17" fillId="0" borderId="6" applyNumberFormat="0" applyFill="0" applyAlignment="0" applyProtection="0"/>
    <xf numFmtId="0" fontId="18" fillId="22" borderId="0" applyNumberFormat="0" applyBorder="0" applyAlignment="0" applyProtection="0"/>
    <xf numFmtId="0" fontId="5" fillId="0" borderId="0"/>
    <xf numFmtId="0" fontId="5" fillId="23" borderId="7" applyNumberFormat="0" applyFont="0" applyAlignment="0" applyProtection="0"/>
    <xf numFmtId="0" fontId="19" fillId="20" borderId="8" applyNumberFormat="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0" borderId="0" applyNumberFormat="0" applyFill="0" applyBorder="0" applyAlignment="0" applyProtection="0"/>
    <xf numFmtId="0" fontId="3" fillId="0" borderId="0"/>
    <xf numFmtId="0" fontId="23" fillId="0" borderId="0"/>
    <xf numFmtId="0" fontId="5" fillId="0" borderId="0"/>
    <xf numFmtId="43" fontId="23" fillId="0" borderId="0" applyFont="0" applyFill="0" applyBorder="0" applyAlignment="0" applyProtection="0"/>
    <xf numFmtId="0" fontId="24" fillId="0" borderId="0"/>
    <xf numFmtId="43" fontId="5" fillId="0" borderId="0" applyFont="0" applyFill="0" applyBorder="0" applyAlignment="0" applyProtection="0"/>
    <xf numFmtId="0" fontId="5" fillId="0" borderId="0"/>
    <xf numFmtId="44" fontId="24" fillId="0" borderId="0" applyFont="0" applyFill="0" applyBorder="0" applyAlignment="0" applyProtection="0"/>
    <xf numFmtId="0" fontId="2" fillId="0" borderId="0"/>
    <xf numFmtId="0" fontId="5" fillId="0" borderId="0"/>
    <xf numFmtId="0" fontId="2" fillId="0" borderId="0"/>
    <xf numFmtId="0" fontId="28" fillId="0" borderId="0" applyNumberFormat="0" applyFill="0" applyBorder="0" applyAlignment="0" applyProtection="0"/>
    <xf numFmtId="44" fontId="5" fillId="0" borderId="0" applyFont="0" applyFill="0" applyBorder="0" applyAlignment="0" applyProtection="0"/>
    <xf numFmtId="44" fontId="32" fillId="0" borderId="0" applyFont="0" applyFill="0" applyBorder="0" applyAlignment="0" applyProtection="0"/>
    <xf numFmtId="9" fontId="32" fillId="0" borderId="0" applyFont="0" applyFill="0" applyBorder="0" applyAlignment="0" applyProtection="0"/>
    <xf numFmtId="9" fontId="5" fillId="0" borderId="0" applyFont="0" applyFill="0" applyBorder="0" applyAlignment="0" applyProtection="0"/>
    <xf numFmtId="0" fontId="1" fillId="0" borderId="0"/>
  </cellStyleXfs>
  <cellXfs count="158">
    <xf numFmtId="0" fontId="0" fillId="0" borderId="0" xfId="0"/>
    <xf numFmtId="0" fontId="25" fillId="0" borderId="0" xfId="0" applyFont="1" applyAlignment="1">
      <alignment vertical="top"/>
    </xf>
    <xf numFmtId="0" fontId="25" fillId="0" borderId="12" xfId="0" applyFont="1" applyBorder="1" applyAlignment="1">
      <alignment horizontal="center" vertical="top"/>
    </xf>
    <xf numFmtId="0" fontId="25" fillId="0" borderId="0" xfId="0" applyFont="1" applyAlignment="1">
      <alignment horizontal="center" vertical="top"/>
    </xf>
    <xf numFmtId="2" fontId="25" fillId="0" borderId="0" xfId="0" applyNumberFormat="1" applyFont="1" applyAlignment="1">
      <alignment horizontal="center" vertical="top" wrapText="1"/>
    </xf>
    <xf numFmtId="164" fontId="25" fillId="0" borderId="0" xfId="0" applyNumberFormat="1" applyFont="1" applyAlignment="1">
      <alignment vertical="top"/>
    </xf>
    <xf numFmtId="0" fontId="30" fillId="25" borderId="0" xfId="0" applyFont="1" applyFill="1" applyAlignment="1">
      <alignment vertical="top"/>
    </xf>
    <xf numFmtId="2" fontId="25" fillId="0" borderId="0" xfId="0" applyNumberFormat="1" applyFont="1" applyAlignment="1">
      <alignment horizontal="left" vertical="top" wrapText="1"/>
    </xf>
    <xf numFmtId="0" fontId="25" fillId="24" borderId="0" xfId="0" applyFont="1" applyFill="1" applyAlignment="1">
      <alignment vertical="top"/>
    </xf>
    <xf numFmtId="2" fontId="4" fillId="24" borderId="12" xfId="0" applyNumberFormat="1" applyFont="1" applyFill="1" applyBorder="1" applyAlignment="1">
      <alignment horizontal="left" vertical="top"/>
    </xf>
    <xf numFmtId="0" fontId="25" fillId="24" borderId="18" xfId="0" applyFont="1" applyFill="1" applyBorder="1" applyAlignment="1">
      <alignment horizontal="center" vertical="top"/>
    </xf>
    <xf numFmtId="0" fontId="25" fillId="24" borderId="12" xfId="0" applyFont="1" applyFill="1" applyBorder="1" applyAlignment="1">
      <alignment horizontal="left" vertical="top"/>
    </xf>
    <xf numFmtId="1" fontId="25" fillId="0" borderId="0" xfId="0" applyNumberFormat="1" applyFont="1" applyAlignment="1">
      <alignment horizontal="center" vertical="top" wrapText="1"/>
    </xf>
    <xf numFmtId="0" fontId="25" fillId="24" borderId="11" xfId="0" applyFont="1" applyFill="1" applyBorder="1" applyAlignment="1">
      <alignment vertical="top"/>
    </xf>
    <xf numFmtId="0" fontId="34" fillId="0" borderId="0" xfId="0" applyFont="1" applyAlignment="1">
      <alignment vertical="top"/>
    </xf>
    <xf numFmtId="44" fontId="25" fillId="0" borderId="0" xfId="56" applyFont="1" applyBorder="1" applyAlignment="1">
      <alignment horizontal="center" vertical="top"/>
    </xf>
    <xf numFmtId="0" fontId="25" fillId="24" borderId="18" xfId="45" applyFont="1" applyFill="1" applyBorder="1" applyAlignment="1">
      <alignment vertical="top"/>
    </xf>
    <xf numFmtId="0" fontId="30" fillId="24" borderId="11" xfId="0" applyFont="1" applyFill="1" applyBorder="1" applyAlignment="1">
      <alignment vertical="top"/>
    </xf>
    <xf numFmtId="0" fontId="30" fillId="24" borderId="0" xfId="0" applyFont="1" applyFill="1" applyAlignment="1">
      <alignment vertical="top"/>
    </xf>
    <xf numFmtId="0" fontId="25" fillId="0" borderId="0" xfId="45" applyFont="1" applyAlignment="1">
      <alignment vertical="top"/>
    </xf>
    <xf numFmtId="0" fontId="25" fillId="24" borderId="0" xfId="45" applyFont="1" applyFill="1" applyAlignment="1">
      <alignment vertical="top"/>
    </xf>
    <xf numFmtId="165" fontId="26" fillId="0" borderId="27" xfId="55" applyNumberFormat="1" applyFont="1" applyFill="1" applyBorder="1" applyAlignment="1">
      <alignment horizontal="center" vertical="top"/>
    </xf>
    <xf numFmtId="0" fontId="29" fillId="27" borderId="0" xfId="0" applyFont="1" applyFill="1" applyAlignment="1">
      <alignment horizontal="center" vertical="top" wrapText="1"/>
    </xf>
    <xf numFmtId="0" fontId="25" fillId="27" borderId="0" xfId="0" applyFont="1" applyFill="1" applyAlignment="1">
      <alignment vertical="top"/>
    </xf>
    <xf numFmtId="0" fontId="25" fillId="26" borderId="0" xfId="0" applyFont="1" applyFill="1" applyAlignment="1">
      <alignment vertical="top"/>
    </xf>
    <xf numFmtId="0" fontId="30" fillId="24" borderId="0" xfId="0" applyFont="1" applyFill="1" applyAlignment="1">
      <alignment horizontal="center" vertical="top" wrapText="1"/>
    </xf>
    <xf numFmtId="0" fontId="29" fillId="24" borderId="0" xfId="0" applyFont="1" applyFill="1" applyAlignment="1">
      <alignment horizontal="center" vertical="top" wrapText="1"/>
    </xf>
    <xf numFmtId="0" fontId="37" fillId="24" borderId="0" xfId="0" applyFont="1" applyFill="1" applyAlignment="1">
      <alignment vertical="top"/>
    </xf>
    <xf numFmtId="0" fontId="34" fillId="24" borderId="0" xfId="0" applyFont="1" applyFill="1" applyAlignment="1">
      <alignment vertical="top"/>
    </xf>
    <xf numFmtId="1" fontId="27" fillId="27" borderId="10" xfId="0" applyNumberFormat="1" applyFont="1" applyFill="1" applyBorder="1" applyAlignment="1">
      <alignment horizontal="left" vertical="top"/>
    </xf>
    <xf numFmtId="0" fontId="29" fillId="27" borderId="10" xfId="0" applyFont="1" applyFill="1" applyBorder="1" applyAlignment="1">
      <alignment horizontal="left" vertical="top" wrapText="1"/>
    </xf>
    <xf numFmtId="1" fontId="29" fillId="27" borderId="10" xfId="0" applyNumberFormat="1" applyFont="1" applyFill="1" applyBorder="1" applyAlignment="1">
      <alignment horizontal="center" vertical="top"/>
    </xf>
    <xf numFmtId="41" fontId="29" fillId="27" borderId="10" xfId="0" applyNumberFormat="1" applyFont="1" applyFill="1" applyBorder="1" applyAlignment="1">
      <alignment horizontal="right" vertical="top"/>
    </xf>
    <xf numFmtId="0" fontId="29" fillId="27" borderId="10" xfId="0" applyFont="1" applyFill="1" applyBorder="1" applyAlignment="1">
      <alignment horizontal="center" vertical="top"/>
    </xf>
    <xf numFmtId="44" fontId="29" fillId="27" borderId="10" xfId="56" applyFont="1" applyFill="1" applyBorder="1" applyAlignment="1">
      <alignment horizontal="center" vertical="top"/>
    </xf>
    <xf numFmtId="165" fontId="27" fillId="27" borderId="10" xfId="0" applyNumberFormat="1" applyFont="1" applyFill="1" applyBorder="1" applyAlignment="1">
      <alignment horizontal="left" vertical="top"/>
    </xf>
    <xf numFmtId="1" fontId="26" fillId="26" borderId="10" xfId="0" applyNumberFormat="1" applyFont="1" applyFill="1" applyBorder="1" applyAlignment="1">
      <alignment horizontal="left" vertical="top"/>
    </xf>
    <xf numFmtId="0" fontId="25" fillId="26" borderId="10" xfId="0" applyFont="1" applyFill="1" applyBorder="1" applyAlignment="1">
      <alignment horizontal="left" vertical="top" wrapText="1"/>
    </xf>
    <xf numFmtId="1" fontId="25" fillId="26" borderId="10" xfId="0" applyNumberFormat="1" applyFont="1" applyFill="1" applyBorder="1" applyAlignment="1">
      <alignment horizontal="center" vertical="top"/>
    </xf>
    <xf numFmtId="41" fontId="25" fillId="26" borderId="10" xfId="0" applyNumberFormat="1" applyFont="1" applyFill="1" applyBorder="1" applyAlignment="1">
      <alignment horizontal="right" vertical="top"/>
    </xf>
    <xf numFmtId="0" fontId="25" fillId="26" borderId="10" xfId="0" applyFont="1" applyFill="1" applyBorder="1" applyAlignment="1">
      <alignment horizontal="center" vertical="top"/>
    </xf>
    <xf numFmtId="9" fontId="26" fillId="26" borderId="10" xfId="57" applyFont="1" applyFill="1" applyBorder="1" applyAlignment="1">
      <alignment horizontal="center" vertical="top"/>
    </xf>
    <xf numFmtId="165" fontId="26" fillId="26" borderId="10" xfId="0" applyNumberFormat="1" applyFont="1" applyFill="1" applyBorder="1" applyAlignment="1">
      <alignment horizontal="left" vertical="top"/>
    </xf>
    <xf numFmtId="1" fontId="27" fillId="27" borderId="19" xfId="0" applyNumberFormat="1" applyFont="1" applyFill="1" applyBorder="1" applyAlignment="1">
      <alignment horizontal="left" vertical="top"/>
    </xf>
    <xf numFmtId="165" fontId="27" fillId="27" borderId="27" xfId="0" applyNumberFormat="1" applyFont="1" applyFill="1" applyBorder="1" applyAlignment="1">
      <alignment horizontal="center" vertical="top"/>
    </xf>
    <xf numFmtId="1" fontId="26" fillId="26" borderId="19" xfId="0" applyNumberFormat="1" applyFont="1" applyFill="1" applyBorder="1" applyAlignment="1">
      <alignment horizontal="left" vertical="top"/>
    </xf>
    <xf numFmtId="165" fontId="26" fillId="26" borderId="27" xfId="0" applyNumberFormat="1" applyFont="1" applyFill="1" applyBorder="1" applyAlignment="1">
      <alignment horizontal="left" vertical="top"/>
    </xf>
    <xf numFmtId="1" fontId="27" fillId="27" borderId="31" xfId="0" applyNumberFormat="1" applyFont="1" applyFill="1" applyBorder="1" applyAlignment="1">
      <alignment horizontal="left" vertical="top"/>
    </xf>
    <xf numFmtId="0" fontId="29" fillId="27" borderId="16" xfId="0" applyFont="1" applyFill="1" applyBorder="1" applyAlignment="1">
      <alignment horizontal="center" vertical="top"/>
    </xf>
    <xf numFmtId="2" fontId="29" fillId="27" borderId="16" xfId="0" applyNumberFormat="1" applyFont="1" applyFill="1" applyBorder="1" applyAlignment="1">
      <alignment horizontal="left" vertical="top" wrapText="1"/>
    </xf>
    <xf numFmtId="1" fontId="29" fillId="27" borderId="16" xfId="0" applyNumberFormat="1" applyFont="1" applyFill="1" applyBorder="1" applyAlignment="1">
      <alignment horizontal="center" vertical="top"/>
    </xf>
    <xf numFmtId="2" fontId="29" fillId="27" borderId="16" xfId="0" applyNumberFormat="1" applyFont="1" applyFill="1" applyBorder="1" applyAlignment="1">
      <alignment horizontal="center" vertical="top" wrapText="1"/>
    </xf>
    <xf numFmtId="2" fontId="31" fillId="27" borderId="16" xfId="54" applyNumberFormat="1" applyFont="1" applyFill="1" applyBorder="1" applyAlignment="1">
      <alignment horizontal="left" vertical="top"/>
    </xf>
    <xf numFmtId="44" fontId="29" fillId="27" borderId="16" xfId="56" applyFont="1" applyFill="1" applyBorder="1" applyAlignment="1">
      <alignment horizontal="center" vertical="top"/>
    </xf>
    <xf numFmtId="165" fontId="27" fillId="27" borderId="16" xfId="0" applyNumberFormat="1" applyFont="1" applyFill="1" applyBorder="1" applyAlignment="1">
      <alignment horizontal="left" vertical="top"/>
    </xf>
    <xf numFmtId="165" fontId="27" fillId="27" borderId="32" xfId="0" applyNumberFormat="1" applyFont="1" applyFill="1" applyBorder="1" applyAlignment="1">
      <alignment horizontal="left" vertical="top"/>
    </xf>
    <xf numFmtId="0" fontId="27" fillId="27" borderId="33" xfId="0" applyFont="1" applyFill="1" applyBorder="1" applyAlignment="1">
      <alignment horizontal="center" vertical="center" wrapText="1"/>
    </xf>
    <xf numFmtId="1" fontId="27" fillId="27" borderId="34" xfId="0" applyNumberFormat="1" applyFont="1" applyFill="1" applyBorder="1" applyAlignment="1">
      <alignment horizontal="center" vertical="center" wrapText="1"/>
    </xf>
    <xf numFmtId="44" fontId="27" fillId="27" borderId="34" xfId="0" applyNumberFormat="1" applyFont="1" applyFill="1" applyBorder="1" applyAlignment="1">
      <alignment horizontal="center" vertical="center" wrapText="1"/>
    </xf>
    <xf numFmtId="0" fontId="27" fillId="27" borderId="34" xfId="0" applyFont="1" applyFill="1" applyBorder="1" applyAlignment="1">
      <alignment horizontal="center" vertical="center" wrapText="1"/>
    </xf>
    <xf numFmtId="164" fontId="27" fillId="27" borderId="35" xfId="0" applyNumberFormat="1" applyFont="1" applyFill="1" applyBorder="1" applyAlignment="1">
      <alignment horizontal="center" vertical="center" wrapText="1"/>
    </xf>
    <xf numFmtId="0" fontId="26" fillId="24" borderId="0" xfId="0" applyFont="1" applyFill="1" applyAlignment="1">
      <alignment horizontal="left" vertical="top"/>
    </xf>
    <xf numFmtId="0" fontId="26" fillId="24" borderId="0" xfId="0" applyFont="1" applyFill="1" applyAlignment="1">
      <alignment vertical="top"/>
    </xf>
    <xf numFmtId="0" fontId="38" fillId="24" borderId="0" xfId="0" applyFont="1" applyFill="1" applyAlignment="1">
      <alignment vertical="top"/>
    </xf>
    <xf numFmtId="2" fontId="4" fillId="24" borderId="0" xfId="0" applyNumberFormat="1" applyFont="1" applyFill="1" applyAlignment="1">
      <alignment vertical="top"/>
    </xf>
    <xf numFmtId="44" fontId="26" fillId="24" borderId="0" xfId="45" applyNumberFormat="1" applyFont="1" applyFill="1" applyAlignment="1">
      <alignment horizontal="left" vertical="top"/>
    </xf>
    <xf numFmtId="2" fontId="4" fillId="24" borderId="0" xfId="45" applyNumberFormat="1" applyFont="1" applyFill="1" applyAlignment="1">
      <alignment vertical="top"/>
    </xf>
    <xf numFmtId="14" fontId="25" fillId="24" borderId="0" xfId="0" applyNumberFormat="1" applyFont="1" applyFill="1" applyAlignment="1">
      <alignment horizontal="left" vertical="top"/>
    </xf>
    <xf numFmtId="44" fontId="25" fillId="24" borderId="0" xfId="45" applyNumberFormat="1" applyFont="1" applyFill="1" applyAlignment="1">
      <alignment horizontal="left" vertical="top"/>
    </xf>
    <xf numFmtId="14" fontId="36" fillId="24" borderId="0" xfId="45" applyNumberFormat="1" applyFont="1" applyFill="1" applyAlignment="1">
      <alignment horizontal="left" vertical="top"/>
    </xf>
    <xf numFmtId="0" fontId="26" fillId="24" borderId="13" xfId="0" applyFont="1" applyFill="1" applyBorder="1" applyAlignment="1">
      <alignment horizontal="left" vertical="top"/>
    </xf>
    <xf numFmtId="0" fontId="25" fillId="24" borderId="29" xfId="0" applyFont="1" applyFill="1" applyBorder="1" applyAlignment="1">
      <alignment horizontal="center" vertical="top"/>
    </xf>
    <xf numFmtId="165" fontId="26" fillId="24" borderId="14" xfId="55" applyNumberFormat="1" applyFont="1" applyFill="1" applyBorder="1" applyAlignment="1" applyProtection="1">
      <alignment horizontal="left" vertical="top"/>
    </xf>
    <xf numFmtId="0" fontId="25" fillId="24" borderId="14" xfId="0" applyFont="1" applyFill="1" applyBorder="1" applyAlignment="1">
      <alignment vertical="top"/>
    </xf>
    <xf numFmtId="2" fontId="25" fillId="24" borderId="14" xfId="0" applyNumberFormat="1" applyFont="1" applyFill="1" applyBorder="1" applyAlignment="1">
      <alignment horizontal="center" vertical="top"/>
    </xf>
    <xf numFmtId="44" fontId="25" fillId="24" borderId="14" xfId="45" applyNumberFormat="1" applyFont="1" applyFill="1" applyBorder="1" applyAlignment="1">
      <alignment horizontal="left" vertical="top"/>
    </xf>
    <xf numFmtId="2" fontId="28" fillId="24" borderId="14" xfId="54" applyNumberFormat="1" applyFill="1" applyBorder="1" applyAlignment="1">
      <alignment horizontal="center" vertical="top"/>
    </xf>
    <xf numFmtId="0" fontId="25" fillId="24" borderId="29" xfId="45" applyFont="1" applyFill="1" applyBorder="1" applyAlignment="1">
      <alignment vertical="top"/>
    </xf>
    <xf numFmtId="2" fontId="35" fillId="27" borderId="20" xfId="0" applyNumberFormat="1" applyFont="1" applyFill="1" applyBorder="1" applyAlignment="1">
      <alignment horizontal="left" vertical="top"/>
    </xf>
    <xf numFmtId="2" fontId="35" fillId="27" borderId="26" xfId="0" applyNumberFormat="1" applyFont="1" applyFill="1" applyBorder="1" applyAlignment="1">
      <alignment horizontal="left" vertical="top"/>
    </xf>
    <xf numFmtId="2" fontId="35" fillId="27" borderId="17" xfId="0" applyNumberFormat="1" applyFont="1" applyFill="1" applyBorder="1" applyAlignment="1">
      <alignment horizontal="left" vertical="top"/>
    </xf>
    <xf numFmtId="2" fontId="39" fillId="27" borderId="17" xfId="0" applyNumberFormat="1" applyFont="1" applyFill="1" applyBorder="1" applyAlignment="1">
      <alignment horizontal="left" vertical="top"/>
    </xf>
    <xf numFmtId="2" fontId="30" fillId="27" borderId="17" xfId="0" applyNumberFormat="1" applyFont="1" applyFill="1" applyBorder="1" applyAlignment="1">
      <alignment horizontal="center" vertical="top"/>
    </xf>
    <xf numFmtId="44" fontId="30" fillId="27" borderId="17" xfId="56" applyFont="1" applyFill="1" applyBorder="1" applyAlignment="1">
      <alignment horizontal="center" vertical="top"/>
    </xf>
    <xf numFmtId="2" fontId="35" fillId="27" borderId="26" xfId="0" applyNumberFormat="1" applyFont="1" applyFill="1" applyBorder="1" applyAlignment="1">
      <alignment horizontal="center" vertical="top"/>
    </xf>
    <xf numFmtId="0" fontId="25" fillId="0" borderId="28" xfId="0" applyFont="1" applyBorder="1" applyAlignment="1">
      <alignment horizontal="center" vertical="top"/>
    </xf>
    <xf numFmtId="0" fontId="25" fillId="0" borderId="15" xfId="0" applyFont="1" applyBorder="1" applyAlignment="1">
      <alignment vertical="top"/>
    </xf>
    <xf numFmtId="0" fontId="26" fillId="0" borderId="15" xfId="0" applyFont="1" applyBorder="1" applyAlignment="1">
      <alignment vertical="top"/>
    </xf>
    <xf numFmtId="0" fontId="26" fillId="0" borderId="15" xfId="0" applyFont="1" applyBorder="1" applyAlignment="1">
      <alignment horizontal="left" vertical="top"/>
    </xf>
    <xf numFmtId="1" fontId="25" fillId="0" borderId="15" xfId="0" applyNumberFormat="1" applyFont="1" applyBorder="1" applyAlignment="1">
      <alignment horizontal="center" vertical="top"/>
    </xf>
    <xf numFmtId="44" fontId="25" fillId="0" borderId="15" xfId="0" applyNumberFormat="1" applyFont="1" applyBorder="1" applyAlignment="1">
      <alignment vertical="top"/>
    </xf>
    <xf numFmtId="165" fontId="26" fillId="0" borderId="25" xfId="0" applyNumberFormat="1" applyFont="1" applyBorder="1" applyAlignment="1">
      <alignment horizontal="center" vertical="top"/>
    </xf>
    <xf numFmtId="0" fontId="25" fillId="0" borderId="19" xfId="0" applyFont="1" applyBorder="1" applyAlignment="1">
      <alignment horizontal="center" vertical="top"/>
    </xf>
    <xf numFmtId="0" fontId="25" fillId="0" borderId="10" xfId="0" applyFont="1" applyBorder="1" applyAlignment="1">
      <alignment horizontal="center" vertical="top"/>
    </xf>
    <xf numFmtId="0" fontId="25" fillId="0" borderId="10" xfId="0" applyFont="1" applyBorder="1" applyAlignment="1">
      <alignment horizontal="center" vertical="top" wrapText="1"/>
    </xf>
    <xf numFmtId="2" fontId="26" fillId="0" borderId="10" xfId="0" applyNumberFormat="1" applyFont="1" applyBorder="1" applyAlignment="1">
      <alignment horizontal="center" vertical="top" wrapText="1"/>
    </xf>
    <xf numFmtId="1" fontId="25" fillId="0" borderId="10" xfId="0" applyNumberFormat="1" applyFont="1" applyBorder="1" applyAlignment="1">
      <alignment horizontal="center" vertical="top"/>
    </xf>
    <xf numFmtId="9" fontId="25" fillId="0" borderId="10" xfId="58" applyFont="1" applyFill="1" applyBorder="1" applyAlignment="1" applyProtection="1">
      <alignment horizontal="center" vertical="top"/>
    </xf>
    <xf numFmtId="41" fontId="25" fillId="0" borderId="10" xfId="0" applyNumberFormat="1" applyFont="1" applyBorder="1" applyAlignment="1">
      <alignment horizontal="center" vertical="top"/>
    </xf>
    <xf numFmtId="44" fontId="25" fillId="0" borderId="10" xfId="55" applyFont="1" applyFill="1" applyBorder="1" applyAlignment="1" applyProtection="1">
      <alignment horizontal="center" vertical="top"/>
    </xf>
    <xf numFmtId="165" fontId="25" fillId="0" borderId="10" xfId="0" applyNumberFormat="1" applyFont="1" applyBorder="1" applyAlignment="1">
      <alignment horizontal="center" vertical="top"/>
    </xf>
    <xf numFmtId="165" fontId="26" fillId="0" borderId="27" xfId="0" applyNumberFormat="1" applyFont="1" applyBorder="1" applyAlignment="1">
      <alignment horizontal="center" vertical="top"/>
    </xf>
    <xf numFmtId="1" fontId="25" fillId="0" borderId="10" xfId="0" applyNumberFormat="1" applyFont="1" applyBorder="1" applyAlignment="1">
      <alignment horizontal="right" vertical="top"/>
    </xf>
    <xf numFmtId="2" fontId="33" fillId="0" borderId="10" xfId="0" applyNumberFormat="1" applyFont="1" applyBorder="1" applyAlignment="1">
      <alignment horizontal="left" vertical="top" wrapText="1"/>
    </xf>
    <xf numFmtId="9" fontId="25" fillId="0" borderId="10" xfId="0" applyNumberFormat="1" applyFont="1" applyBorder="1" applyAlignment="1">
      <alignment horizontal="center" vertical="top"/>
    </xf>
    <xf numFmtId="165" fontId="25" fillId="0" borderId="10" xfId="55" applyNumberFormat="1" applyFont="1" applyFill="1" applyBorder="1" applyAlignment="1">
      <alignment horizontal="center" vertical="top"/>
    </xf>
    <xf numFmtId="2" fontId="25" fillId="0" borderId="10" xfId="0" applyNumberFormat="1" applyFont="1" applyBorder="1" applyAlignment="1">
      <alignment horizontal="left" vertical="top" wrapText="1"/>
    </xf>
    <xf numFmtId="2" fontId="26" fillId="0" borderId="10" xfId="0" applyNumberFormat="1" applyFont="1" applyBorder="1" applyAlignment="1">
      <alignment horizontal="left" vertical="top" wrapText="1"/>
    </xf>
    <xf numFmtId="165" fontId="25" fillId="0" borderId="10" xfId="45" applyNumberFormat="1" applyFont="1" applyBorder="1" applyAlignment="1">
      <alignment horizontal="center" vertical="top"/>
    </xf>
    <xf numFmtId="166" fontId="26" fillId="0" borderId="27" xfId="45" applyNumberFormat="1" applyFont="1" applyBorder="1" applyAlignment="1">
      <alignment horizontal="center" vertical="top"/>
    </xf>
    <xf numFmtId="2" fontId="26" fillId="0" borderId="10" xfId="0" applyNumberFormat="1" applyFont="1" applyBorder="1" applyAlignment="1">
      <alignment horizontal="right" vertical="top" wrapText="1"/>
    </xf>
    <xf numFmtId="0" fontId="27" fillId="0" borderId="36" xfId="0" applyFont="1" applyBorder="1" applyAlignment="1">
      <alignment horizontal="center" vertical="center" wrapText="1"/>
    </xf>
    <xf numFmtId="1" fontId="27" fillId="0" borderId="21" xfId="0" applyNumberFormat="1" applyFont="1" applyBorder="1" applyAlignment="1">
      <alignment horizontal="center" vertical="center" wrapText="1"/>
    </xf>
    <xf numFmtId="44" fontId="27" fillId="0" borderId="21" xfId="0" applyNumberFormat="1" applyFont="1" applyBorder="1" applyAlignment="1">
      <alignment horizontal="center" vertical="center" wrapText="1"/>
    </xf>
    <xf numFmtId="0" fontId="27" fillId="0" borderId="21" xfId="0" applyFont="1" applyBorder="1" applyAlignment="1">
      <alignment horizontal="center" vertical="center" wrapText="1"/>
    </xf>
    <xf numFmtId="164" fontId="27" fillId="0" borderId="37" xfId="0" applyNumberFormat="1" applyFont="1" applyBorder="1" applyAlignment="1">
      <alignment horizontal="center" vertical="center" wrapText="1"/>
    </xf>
    <xf numFmtId="0" fontId="25" fillId="0" borderId="19" xfId="45" applyFont="1" applyBorder="1" applyAlignment="1">
      <alignment horizontal="center" vertical="top"/>
    </xf>
    <xf numFmtId="0" fontId="25" fillId="0" borderId="10" xfId="45" applyFont="1" applyBorder="1" applyAlignment="1">
      <alignment horizontal="center" vertical="top" wrapText="1"/>
    </xf>
    <xf numFmtId="1" fontId="25" fillId="0" borderId="10" xfId="45" applyNumberFormat="1" applyFont="1" applyBorder="1" applyAlignment="1">
      <alignment horizontal="right" vertical="top"/>
    </xf>
    <xf numFmtId="1" fontId="25" fillId="0" borderId="10" xfId="45" applyNumberFormat="1" applyFont="1" applyBorder="1" applyAlignment="1">
      <alignment horizontal="center" vertical="top"/>
    </xf>
    <xf numFmtId="41" fontId="25" fillId="0" borderId="10" xfId="45" applyNumberFormat="1" applyFont="1" applyBorder="1" applyAlignment="1">
      <alignment horizontal="center" vertical="top"/>
    </xf>
    <xf numFmtId="0" fontId="25" fillId="0" borderId="10" xfId="45" applyFont="1" applyBorder="1" applyAlignment="1">
      <alignment horizontal="center" vertical="top"/>
    </xf>
    <xf numFmtId="165" fontId="25" fillId="0" borderId="27" xfId="45" applyNumberFormat="1" applyFont="1" applyBorder="1" applyAlignment="1">
      <alignment horizontal="center" vertical="top"/>
    </xf>
    <xf numFmtId="2" fontId="26" fillId="0" borderId="10" xfId="45" applyNumberFormat="1" applyFont="1" applyBorder="1" applyAlignment="1">
      <alignment horizontal="right" vertical="top" wrapText="1"/>
    </xf>
    <xf numFmtId="2" fontId="25" fillId="0" borderId="10" xfId="45" applyNumberFormat="1" applyFont="1" applyBorder="1" applyAlignment="1">
      <alignment horizontal="left" vertical="top" wrapText="1"/>
    </xf>
    <xf numFmtId="1" fontId="25" fillId="0" borderId="15" xfId="45" applyNumberFormat="1" applyFont="1" applyBorder="1" applyAlignment="1">
      <alignment horizontal="center" vertical="top"/>
    </xf>
    <xf numFmtId="9" fontId="25" fillId="0" borderId="10" xfId="45" applyNumberFormat="1" applyFont="1" applyBorder="1" applyAlignment="1">
      <alignment horizontal="center" vertical="top"/>
    </xf>
    <xf numFmtId="0" fontId="25" fillId="0" borderId="10" xfId="45" applyFont="1" applyBorder="1" applyAlignment="1">
      <alignment vertical="top"/>
    </xf>
    <xf numFmtId="2" fontId="33" fillId="0" borderId="10" xfId="45" applyNumberFormat="1" applyFont="1" applyBorder="1" applyAlignment="1">
      <alignment horizontal="left" vertical="top" wrapText="1"/>
    </xf>
    <xf numFmtId="165" fontId="26" fillId="0" borderId="10" xfId="55" applyNumberFormat="1" applyFont="1" applyFill="1" applyBorder="1" applyAlignment="1">
      <alignment horizontal="center" vertical="top"/>
    </xf>
    <xf numFmtId="0" fontId="26" fillId="0" borderId="15" xfId="45" applyFont="1" applyBorder="1" applyAlignment="1">
      <alignment vertical="top"/>
    </xf>
    <xf numFmtId="0" fontId="26" fillId="0" borderId="15" xfId="45" applyFont="1" applyBorder="1" applyAlignment="1">
      <alignment horizontal="center" vertical="center"/>
    </xf>
    <xf numFmtId="0" fontId="25" fillId="0" borderId="15" xfId="45" applyFont="1" applyBorder="1" applyAlignment="1">
      <alignment vertical="top"/>
    </xf>
    <xf numFmtId="165" fontId="25" fillId="0" borderId="15" xfId="55" applyNumberFormat="1" applyFont="1" applyFill="1" applyBorder="1" applyAlignment="1">
      <alignment vertical="top"/>
    </xf>
    <xf numFmtId="0" fontId="25" fillId="0" borderId="28" xfId="45" applyFont="1" applyBorder="1" applyAlignment="1">
      <alignment horizontal="center" vertical="top"/>
    </xf>
    <xf numFmtId="166" fontId="26" fillId="0" borderId="25" xfId="45" applyNumberFormat="1" applyFont="1" applyBorder="1" applyAlignment="1">
      <alignment horizontal="center" vertical="top"/>
    </xf>
    <xf numFmtId="0" fontId="25" fillId="0" borderId="38" xfId="45" applyFont="1" applyBorder="1" applyAlignment="1">
      <alignment horizontal="center" vertical="top"/>
    </xf>
    <xf numFmtId="0" fontId="25" fillId="0" borderId="23" xfId="45" applyFont="1" applyBorder="1" applyAlignment="1">
      <alignment horizontal="center" vertical="top"/>
    </xf>
    <xf numFmtId="0" fontId="25" fillId="0" borderId="23" xfId="45" applyFont="1" applyBorder="1" applyAlignment="1">
      <alignment horizontal="center" vertical="top" wrapText="1"/>
    </xf>
    <xf numFmtId="2" fontId="25" fillId="0" borderId="23" xfId="45" applyNumberFormat="1" applyFont="1" applyBorder="1" applyAlignment="1">
      <alignment horizontal="left" vertical="top" wrapText="1"/>
    </xf>
    <xf numFmtId="1" fontId="25" fillId="0" borderId="23" xfId="45" applyNumberFormat="1" applyFont="1" applyBorder="1" applyAlignment="1">
      <alignment horizontal="center" vertical="top"/>
    </xf>
    <xf numFmtId="9" fontId="25" fillId="0" borderId="23" xfId="45" applyNumberFormat="1" applyFont="1" applyBorder="1" applyAlignment="1">
      <alignment horizontal="center" vertical="top"/>
    </xf>
    <xf numFmtId="41" fontId="25" fillId="0" borderId="23" xfId="45" applyNumberFormat="1" applyFont="1" applyBorder="1" applyAlignment="1">
      <alignment horizontal="center" vertical="top"/>
    </xf>
    <xf numFmtId="44" fontId="25" fillId="0" borderId="23" xfId="55" applyFont="1" applyFill="1" applyBorder="1" applyAlignment="1" applyProtection="1">
      <alignment horizontal="center" vertical="top"/>
    </xf>
    <xf numFmtId="165" fontId="25" fillId="0" borderId="23" xfId="45" applyNumberFormat="1" applyFont="1" applyBorder="1" applyAlignment="1">
      <alignment horizontal="center" vertical="top"/>
    </xf>
    <xf numFmtId="166" fontId="26" fillId="0" borderId="39" xfId="45" applyNumberFormat="1" applyFont="1" applyBorder="1" applyAlignment="1">
      <alignment horizontal="center" vertical="top"/>
    </xf>
    <xf numFmtId="1" fontId="27" fillId="27" borderId="30" xfId="0" applyNumberFormat="1" applyFont="1" applyFill="1" applyBorder="1" applyAlignment="1">
      <alignment horizontal="left" vertical="top"/>
    </xf>
    <xf numFmtId="1" fontId="27" fillId="27" borderId="22" xfId="0" applyNumberFormat="1" applyFont="1" applyFill="1" applyBorder="1" applyAlignment="1">
      <alignment horizontal="left" vertical="top"/>
    </xf>
    <xf numFmtId="0" fontId="29" fillId="27" borderId="22" xfId="0" applyFont="1" applyFill="1" applyBorder="1" applyAlignment="1">
      <alignment horizontal="left" vertical="top" wrapText="1"/>
    </xf>
    <xf numFmtId="1" fontId="29" fillId="27" borderId="22" xfId="0" applyNumberFormat="1" applyFont="1" applyFill="1" applyBorder="1" applyAlignment="1">
      <alignment horizontal="center" vertical="top"/>
    </xf>
    <xf numFmtId="41" fontId="29" fillId="27" borderId="22" xfId="0" applyNumberFormat="1" applyFont="1" applyFill="1" applyBorder="1" applyAlignment="1">
      <alignment horizontal="right" vertical="top"/>
    </xf>
    <xf numFmtId="0" fontId="29" fillId="27" borderId="22" xfId="0" applyFont="1" applyFill="1" applyBorder="1" applyAlignment="1">
      <alignment horizontal="center" vertical="top"/>
    </xf>
    <xf numFmtId="44" fontId="29" fillId="27" borderId="22" xfId="56" applyFont="1" applyFill="1" applyBorder="1" applyAlignment="1">
      <alignment horizontal="center" vertical="top"/>
    </xf>
    <xf numFmtId="165" fontId="27" fillId="27" borderId="22" xfId="0" applyNumberFormat="1" applyFont="1" applyFill="1" applyBorder="1" applyAlignment="1">
      <alignment horizontal="left" vertical="top"/>
    </xf>
    <xf numFmtId="165" fontId="27" fillId="27" borderId="24" xfId="0" applyNumberFormat="1" applyFont="1" applyFill="1" applyBorder="1" applyAlignment="1">
      <alignment horizontal="center" vertical="top"/>
    </xf>
    <xf numFmtId="0" fontId="40" fillId="28" borderId="20" xfId="0" applyFont="1" applyFill="1" applyBorder="1" applyAlignment="1">
      <alignment horizontal="center" vertical="center"/>
    </xf>
    <xf numFmtId="0" fontId="40" fillId="28" borderId="17" xfId="0" applyFont="1" applyFill="1" applyBorder="1" applyAlignment="1">
      <alignment horizontal="center" vertical="center"/>
    </xf>
    <xf numFmtId="0" fontId="40" fillId="28" borderId="26" xfId="0" applyFont="1" applyFill="1" applyBorder="1" applyAlignment="1">
      <alignment horizontal="center" vertical="center"/>
    </xf>
  </cellXfs>
  <cellStyles count="60">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2" xfId="46" xr:uid="{00000000-0005-0000-0000-00001B000000}"/>
    <cellStyle name="Comma 2 2" xfId="48" xr:uid="{00000000-0005-0000-0000-00001C000000}"/>
    <cellStyle name="Currency" xfId="56" builtinId="4"/>
    <cellStyle name="Currency 2" xfId="50" xr:uid="{00000000-0005-0000-0000-00001E000000}"/>
    <cellStyle name="Currency 3" xfId="55" xr:uid="{00000000-0005-0000-0000-00001F000000}"/>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54" builtinId="8"/>
    <cellStyle name="Input" xfId="34" builtinId="20" customBuiltin="1"/>
    <cellStyle name="Linked Cell" xfId="35" builtinId="24" customBuiltin="1"/>
    <cellStyle name="Neutral" xfId="36" builtinId="28" customBuiltin="1"/>
    <cellStyle name="Normal" xfId="0" builtinId="0"/>
    <cellStyle name="Normal 2" xfId="44" xr:uid="{00000000-0005-0000-0000-00002B000000}"/>
    <cellStyle name="Normal 2 2" xfId="47" xr:uid="{00000000-0005-0000-0000-00002C000000}"/>
    <cellStyle name="Normal 2 3" xfId="45" xr:uid="{00000000-0005-0000-0000-00002D000000}"/>
    <cellStyle name="Normal 2 3 2" xfId="52" xr:uid="{00000000-0005-0000-0000-00002E000000}"/>
    <cellStyle name="Normal 3" xfId="37" xr:uid="{00000000-0005-0000-0000-00002F000000}"/>
    <cellStyle name="Normal 4" xfId="43" xr:uid="{00000000-0005-0000-0000-000030000000}"/>
    <cellStyle name="Normal 4 2" xfId="53" xr:uid="{00000000-0005-0000-0000-000031000000}"/>
    <cellStyle name="Normal 4 3" xfId="51" xr:uid="{00000000-0005-0000-0000-000032000000}"/>
    <cellStyle name="Normal 5" xfId="49" xr:uid="{00000000-0005-0000-0000-000033000000}"/>
    <cellStyle name="Normal 7" xfId="59" xr:uid="{695D2ACA-6B6C-4DB6-AF81-E137216133E4}"/>
    <cellStyle name="Note" xfId="38" builtinId="10" customBuiltin="1"/>
    <cellStyle name="Output" xfId="39" builtinId="21" customBuiltin="1"/>
    <cellStyle name="Percent" xfId="57" builtinId="5"/>
    <cellStyle name="Percent 2" xfId="58" xr:uid="{00000000-0005-0000-0000-000037000000}"/>
    <cellStyle name="Title" xfId="40" builtinId="15" customBuiltin="1"/>
    <cellStyle name="Total" xfId="41" builtinId="25" customBuiltin="1"/>
    <cellStyle name="Warning Text" xfId="42" builtinId="11" customBuiltin="1"/>
  </cellStyles>
  <dxfs count="0"/>
  <tableStyles count="0" defaultTableStyle="TableStyleMedium9" defaultPivotStyle="PivotStyleLight16"/>
  <colors>
    <mruColors>
      <color rgb="FFF55D61"/>
      <color rgb="FFFED2DC"/>
      <color rgb="FFD5D5D5"/>
      <color rgb="FFB94517"/>
      <color rgb="FFFE9494"/>
      <color rgb="FFF3F3F3"/>
      <color rgb="FFF50101"/>
      <color rgb="FFCE2008"/>
      <color rgb="FFFF512C"/>
      <color rgb="FFDE79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9</xdr:col>
      <xdr:colOff>550334</xdr:colOff>
      <xdr:row>1</xdr:row>
      <xdr:rowOff>42333</xdr:rowOff>
    </xdr:from>
    <xdr:to>
      <xdr:col>11</xdr:col>
      <xdr:colOff>719541</xdr:colOff>
      <xdr:row>4</xdr:row>
      <xdr:rowOff>106430</xdr:rowOff>
    </xdr:to>
    <xdr:pic>
      <xdr:nvPicPr>
        <xdr:cNvPr id="2" name="Picture 1">
          <a:extLst>
            <a:ext uri="{FF2B5EF4-FFF2-40B4-BE49-F238E27FC236}">
              <a16:creationId xmlns:a16="http://schemas.microsoft.com/office/drawing/2014/main" id="{3DBA6FDE-D11C-4D30-88D2-9207AE6159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78167" y="243416"/>
          <a:ext cx="2021291" cy="66734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BD291"/>
  <sheetViews>
    <sheetView showGridLines="0" tabSelected="1" view="pageBreakPreview" topLeftCell="A275" zoomScale="90" zoomScaleNormal="90" zoomScaleSheetLayoutView="90" zoomScalePageLayoutView="80" workbookViewId="0">
      <selection activeCell="C284" sqref="C284"/>
    </sheetView>
  </sheetViews>
  <sheetFormatPr defaultColWidth="9.6640625" defaultRowHeight="15.75" x14ac:dyDescent="0.2"/>
  <cols>
    <col min="1" max="1" width="5.33203125" style="2" customWidth="1"/>
    <col min="2" max="2" width="11.88671875" style="3" customWidth="1"/>
    <col min="3" max="3" width="13" style="3" customWidth="1"/>
    <col min="4" max="4" width="7.33203125" style="3" customWidth="1"/>
    <col min="5" max="5" width="58.88671875" style="7" customWidth="1"/>
    <col min="6" max="6" width="9.109375" style="12" customWidth="1"/>
    <col min="7" max="7" width="8.109375" style="4" customWidth="1"/>
    <col min="8" max="8" width="7.88671875" style="4" customWidth="1"/>
    <col min="9" max="9" width="7.109375" style="3" customWidth="1"/>
    <col min="10" max="10" width="10.109375" style="15" customWidth="1"/>
    <col min="11" max="11" width="11.44140625" style="5" customWidth="1"/>
    <col min="12" max="12" width="11.6640625" style="8" customWidth="1"/>
    <col min="13" max="13" width="9.6640625" style="18"/>
    <col min="14" max="56" width="9.6640625" style="8"/>
    <col min="57" max="16384" width="9.6640625" style="1"/>
  </cols>
  <sheetData>
    <row r="1" spans="1:56" s="13" customFormat="1" ht="16.5" thickBot="1" x14ac:dyDescent="0.25">
      <c r="A1" s="78" t="s">
        <v>6</v>
      </c>
      <c r="B1" s="79"/>
      <c r="C1" s="80" t="s">
        <v>221</v>
      </c>
      <c r="D1" s="80"/>
      <c r="E1" s="81"/>
      <c r="F1" s="82"/>
      <c r="G1" s="82"/>
      <c r="H1" s="82"/>
      <c r="I1" s="82"/>
      <c r="J1" s="83"/>
      <c r="K1" s="82"/>
      <c r="L1" s="84"/>
      <c r="M1" s="17"/>
    </row>
    <row r="2" spans="1:56" x14ac:dyDescent="0.2">
      <c r="A2" s="9" t="s">
        <v>7</v>
      </c>
      <c r="B2" s="10"/>
      <c r="C2" s="61" t="s">
        <v>221</v>
      </c>
      <c r="D2" s="62"/>
      <c r="E2" s="63"/>
      <c r="G2" s="64"/>
      <c r="H2" s="64"/>
      <c r="I2" s="64"/>
      <c r="J2" s="65"/>
      <c r="K2" s="66"/>
      <c r="L2" s="16"/>
    </row>
    <row r="3" spans="1:56" x14ac:dyDescent="0.2">
      <c r="A3" s="11" t="s">
        <v>8</v>
      </c>
      <c r="B3" s="10"/>
      <c r="C3" s="67">
        <v>44900</v>
      </c>
      <c r="D3" s="67"/>
      <c r="E3" s="63"/>
      <c r="F3" s="66" t="s">
        <v>251</v>
      </c>
      <c r="G3" s="64"/>
      <c r="H3" s="64"/>
      <c r="I3" s="64"/>
      <c r="J3" s="68"/>
      <c r="K3" s="69"/>
      <c r="L3" s="16"/>
    </row>
    <row r="4" spans="1:56" x14ac:dyDescent="0.2">
      <c r="A4" s="11" t="s">
        <v>9</v>
      </c>
      <c r="B4" s="10"/>
      <c r="C4" s="67">
        <v>44848</v>
      </c>
      <c r="D4" s="67"/>
      <c r="E4" s="8"/>
      <c r="F4" s="66" t="s">
        <v>252</v>
      </c>
      <c r="G4" s="66" t="s">
        <v>253</v>
      </c>
      <c r="H4" s="8"/>
      <c r="I4" s="64"/>
      <c r="J4" s="68"/>
      <c r="K4" s="69"/>
      <c r="L4" s="16"/>
    </row>
    <row r="5" spans="1:56" ht="16.5" thickBot="1" x14ac:dyDescent="0.25">
      <c r="A5" s="70" t="s">
        <v>152</v>
      </c>
      <c r="B5" s="71"/>
      <c r="C5" s="72">
        <f>L$234</f>
        <v>0</v>
      </c>
      <c r="D5" s="72"/>
      <c r="E5" s="73"/>
      <c r="F5" s="73"/>
      <c r="G5" s="74"/>
      <c r="H5" s="74"/>
      <c r="I5" s="74"/>
      <c r="J5" s="75"/>
      <c r="K5" s="76"/>
      <c r="L5" s="77"/>
    </row>
    <row r="6" spans="1:56" s="22" customFormat="1" ht="35.25" customHeight="1" thickBot="1" x14ac:dyDescent="0.25">
      <c r="A6" s="56" t="s">
        <v>10</v>
      </c>
      <c r="B6" s="57" t="s">
        <v>14</v>
      </c>
      <c r="C6" s="57" t="s">
        <v>15</v>
      </c>
      <c r="D6" s="57"/>
      <c r="E6" s="57" t="s">
        <v>1</v>
      </c>
      <c r="F6" s="57" t="s">
        <v>16</v>
      </c>
      <c r="G6" s="57" t="s">
        <v>3</v>
      </c>
      <c r="H6" s="57" t="s">
        <v>4</v>
      </c>
      <c r="I6" s="57" t="s">
        <v>0</v>
      </c>
      <c r="J6" s="58" t="s">
        <v>2</v>
      </c>
      <c r="K6" s="59" t="s">
        <v>5</v>
      </c>
      <c r="L6" s="60" t="s">
        <v>11</v>
      </c>
      <c r="M6" s="25"/>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row>
    <row r="7" spans="1:56" s="6" customFormat="1" x14ac:dyDescent="0.2">
      <c r="A7" s="85" t="str">
        <f>IF(F7&lt;&gt;"",1+MAX($A$6:A6),"")</f>
        <v/>
      </c>
      <c r="B7" s="86"/>
      <c r="C7" s="87"/>
      <c r="D7" s="87" t="s">
        <v>18</v>
      </c>
      <c r="E7" s="88" t="s">
        <v>19</v>
      </c>
      <c r="F7" s="89"/>
      <c r="G7" s="86"/>
      <c r="H7" s="86"/>
      <c r="I7" s="86"/>
      <c r="J7" s="90"/>
      <c r="K7" s="86"/>
      <c r="L7" s="91"/>
      <c r="M7" s="18"/>
      <c r="N7" s="18"/>
      <c r="O7" s="18"/>
      <c r="P7" s="18"/>
      <c r="Q7" s="18"/>
      <c r="R7" s="18"/>
      <c r="S7" s="18"/>
      <c r="T7" s="18"/>
      <c r="U7" s="18"/>
      <c r="V7" s="18"/>
      <c r="W7" s="18"/>
      <c r="X7" s="18"/>
      <c r="Y7" s="18"/>
      <c r="Z7" s="18"/>
      <c r="AA7" s="18"/>
      <c r="AB7" s="18"/>
      <c r="AC7" s="18"/>
      <c r="AD7" s="18"/>
      <c r="AE7" s="18"/>
      <c r="AF7" s="18"/>
      <c r="AG7" s="18"/>
      <c r="AH7" s="18"/>
      <c r="AI7" s="18"/>
      <c r="AJ7" s="18"/>
      <c r="AK7" s="18"/>
      <c r="AL7" s="18"/>
      <c r="AM7" s="18"/>
      <c r="AN7" s="18"/>
      <c r="AO7" s="18"/>
      <c r="AP7" s="18"/>
      <c r="AQ7" s="18"/>
      <c r="AR7" s="18"/>
      <c r="AS7" s="18"/>
      <c r="AT7" s="18"/>
      <c r="AU7" s="18"/>
      <c r="AV7" s="18"/>
      <c r="AW7" s="18"/>
      <c r="AX7" s="18"/>
      <c r="AY7" s="18"/>
      <c r="AZ7" s="18"/>
      <c r="BA7" s="18"/>
      <c r="BB7" s="18"/>
      <c r="BC7" s="18"/>
      <c r="BD7" s="18"/>
    </row>
    <row r="8" spans="1:56" x14ac:dyDescent="0.2">
      <c r="A8" s="92"/>
      <c r="B8" s="93"/>
      <c r="C8" s="94"/>
      <c r="D8" s="94"/>
      <c r="E8" s="95" t="s">
        <v>32</v>
      </c>
      <c r="F8" s="96"/>
      <c r="G8" s="97"/>
      <c r="H8" s="98"/>
      <c r="I8" s="93"/>
      <c r="J8" s="99"/>
      <c r="K8" s="100"/>
      <c r="L8" s="101"/>
    </row>
    <row r="9" spans="1:56" s="14" customFormat="1" x14ac:dyDescent="0.2">
      <c r="A9" s="92" t="str">
        <f>IF(F9&lt;&gt;"",1+MAX($A$6:A8),"")</f>
        <v/>
      </c>
      <c r="B9" s="94"/>
      <c r="C9" s="94"/>
      <c r="D9" s="102"/>
      <c r="E9" s="103" t="s">
        <v>223</v>
      </c>
      <c r="F9" s="96"/>
      <c r="G9" s="104"/>
      <c r="H9" s="98"/>
      <c r="I9" s="93"/>
      <c r="J9" s="99"/>
      <c r="K9" s="105"/>
      <c r="L9" s="101"/>
      <c r="M9" s="27"/>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row>
    <row r="10" spans="1:56" s="14" customFormat="1" ht="47.25" x14ac:dyDescent="0.2">
      <c r="A10" s="92">
        <f>IF(F10&lt;&gt;"",1+MAX($A$6:A9),"")</f>
        <v>1</v>
      </c>
      <c r="B10" s="94" t="s">
        <v>23</v>
      </c>
      <c r="C10" s="94" t="s">
        <v>24</v>
      </c>
      <c r="D10" s="102"/>
      <c r="E10" s="106" t="s">
        <v>222</v>
      </c>
      <c r="F10" s="96">
        <f>(4*18.75+3*19.083+2*23.75)*27.48</f>
        <v>4939.50252</v>
      </c>
      <c r="G10" s="104">
        <v>0.05</v>
      </c>
      <c r="H10" s="98">
        <f>F10*(1+G10)</f>
        <v>5186.4776460000003</v>
      </c>
      <c r="I10" s="93" t="s">
        <v>21</v>
      </c>
      <c r="J10" s="99">
        <v>0</v>
      </c>
      <c r="K10" s="105">
        <f>J10*H10</f>
        <v>0</v>
      </c>
      <c r="L10" s="101"/>
      <c r="M10" s="27"/>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row>
    <row r="11" spans="1:56" ht="47.25" x14ac:dyDescent="0.2">
      <c r="A11" s="92">
        <f>IF(F11&lt;&gt;"",1+MAX($A$6:A10),"")</f>
        <v>2</v>
      </c>
      <c r="B11" s="94" t="s">
        <v>23</v>
      </c>
      <c r="C11" s="94" t="s">
        <v>24</v>
      </c>
      <c r="D11" s="94"/>
      <c r="E11" s="106" t="s">
        <v>224</v>
      </c>
      <c r="F11" s="96">
        <f>(7*18.75+4*19.083)*50.81</f>
        <v>10547.24142</v>
      </c>
      <c r="G11" s="104">
        <v>0.05</v>
      </c>
      <c r="H11" s="98">
        <f t="shared" ref="H11:H18" si="0">F11*(1+G11)</f>
        <v>11074.603491000002</v>
      </c>
      <c r="I11" s="93" t="s">
        <v>21</v>
      </c>
      <c r="J11" s="99">
        <f t="shared" ref="J11:J18" si="1">J$10</f>
        <v>0</v>
      </c>
      <c r="K11" s="105">
        <f t="shared" ref="K11:K18" si="2">J11*H11</f>
        <v>0</v>
      </c>
      <c r="L11" s="101"/>
    </row>
    <row r="12" spans="1:56" ht="47.25" x14ac:dyDescent="0.2">
      <c r="A12" s="92">
        <f>IF(F12&lt;&gt;"",1+MAX($A$6:A11),"")</f>
        <v>3</v>
      </c>
      <c r="B12" s="94" t="s">
        <v>23</v>
      </c>
      <c r="C12" s="94" t="s">
        <v>24</v>
      </c>
      <c r="D12" s="94"/>
      <c r="E12" s="106" t="s">
        <v>226</v>
      </c>
      <c r="F12" s="96">
        <f>(10*18.75)*37.69</f>
        <v>7066.875</v>
      </c>
      <c r="G12" s="104">
        <v>0.05</v>
      </c>
      <c r="H12" s="98">
        <f t="shared" si="0"/>
        <v>7420.21875</v>
      </c>
      <c r="I12" s="93" t="s">
        <v>21</v>
      </c>
      <c r="J12" s="99">
        <f t="shared" si="1"/>
        <v>0</v>
      </c>
      <c r="K12" s="105">
        <f t="shared" si="2"/>
        <v>0</v>
      </c>
      <c r="L12" s="101"/>
    </row>
    <row r="13" spans="1:56" ht="47.25" x14ac:dyDescent="0.2">
      <c r="A13" s="92">
        <f>IF(F13&lt;&gt;"",1+MAX($A$6:A12),"")</f>
        <v>4</v>
      </c>
      <c r="B13" s="94" t="s">
        <v>23</v>
      </c>
      <c r="C13" s="94" t="s">
        <v>24</v>
      </c>
      <c r="D13" s="94"/>
      <c r="E13" s="106" t="s">
        <v>225</v>
      </c>
      <c r="F13" s="96">
        <f>(3*19.083)*76.07</f>
        <v>4354.9314299999996</v>
      </c>
      <c r="G13" s="104">
        <v>0.05</v>
      </c>
      <c r="H13" s="98">
        <f t="shared" si="0"/>
        <v>4572.6780014999995</v>
      </c>
      <c r="I13" s="93" t="s">
        <v>21</v>
      </c>
      <c r="J13" s="99">
        <f t="shared" si="1"/>
        <v>0</v>
      </c>
      <c r="K13" s="105">
        <f t="shared" si="2"/>
        <v>0</v>
      </c>
      <c r="L13" s="101"/>
    </row>
    <row r="14" spans="1:56" ht="47.25" x14ac:dyDescent="0.2">
      <c r="A14" s="92">
        <f>IF(F14&lt;&gt;"",1+MAX($A$6:A13),"")</f>
        <v>5</v>
      </c>
      <c r="B14" s="94" t="s">
        <v>23</v>
      </c>
      <c r="C14" s="94" t="s">
        <v>24</v>
      </c>
      <c r="D14" s="94"/>
      <c r="E14" s="106" t="s">
        <v>227</v>
      </c>
      <c r="F14" s="96">
        <f>(2*19.083*72)</f>
        <v>2747.9519999999998</v>
      </c>
      <c r="G14" s="104">
        <v>0.05</v>
      </c>
      <c r="H14" s="98">
        <f t="shared" si="0"/>
        <v>2885.3496</v>
      </c>
      <c r="I14" s="93" t="s">
        <v>21</v>
      </c>
      <c r="J14" s="99">
        <f t="shared" si="1"/>
        <v>0</v>
      </c>
      <c r="K14" s="105">
        <f t="shared" si="2"/>
        <v>0</v>
      </c>
      <c r="L14" s="101"/>
    </row>
    <row r="15" spans="1:56" ht="47.25" x14ac:dyDescent="0.2">
      <c r="A15" s="92">
        <f>IF(F15&lt;&gt;"",1+MAX($A$6:A14),"")</f>
        <v>6</v>
      </c>
      <c r="B15" s="94" t="s">
        <v>23</v>
      </c>
      <c r="C15" s="94" t="s">
        <v>24</v>
      </c>
      <c r="D15" s="94"/>
      <c r="E15" s="106" t="s">
        <v>229</v>
      </c>
      <c r="F15" s="96">
        <f>1*23.75*25.82</f>
        <v>613.22500000000002</v>
      </c>
      <c r="G15" s="104">
        <v>0.05</v>
      </c>
      <c r="H15" s="98">
        <f t="shared" si="0"/>
        <v>643.88625000000002</v>
      </c>
      <c r="I15" s="93" t="s">
        <v>21</v>
      </c>
      <c r="J15" s="99">
        <f t="shared" si="1"/>
        <v>0</v>
      </c>
      <c r="K15" s="105">
        <f t="shared" si="2"/>
        <v>0</v>
      </c>
      <c r="L15" s="101"/>
    </row>
    <row r="16" spans="1:56" ht="47.25" x14ac:dyDescent="0.2">
      <c r="A16" s="92">
        <f>IF(F16&lt;&gt;"",1+MAX($A$6:A15),"")</f>
        <v>7</v>
      </c>
      <c r="B16" s="94" t="s">
        <v>23</v>
      </c>
      <c r="C16" s="94" t="s">
        <v>24</v>
      </c>
      <c r="D16" s="94"/>
      <c r="E16" s="106" t="s">
        <v>230</v>
      </c>
      <c r="F16" s="96">
        <f>2*23.75*39.43</f>
        <v>1872.925</v>
      </c>
      <c r="G16" s="104">
        <v>0.05</v>
      </c>
      <c r="H16" s="98">
        <f t="shared" si="0"/>
        <v>1966.57125</v>
      </c>
      <c r="I16" s="93" t="s">
        <v>21</v>
      </c>
      <c r="J16" s="99">
        <f t="shared" si="1"/>
        <v>0</v>
      </c>
      <c r="K16" s="105">
        <f t="shared" si="2"/>
        <v>0</v>
      </c>
      <c r="L16" s="101"/>
    </row>
    <row r="17" spans="1:56" ht="47.25" x14ac:dyDescent="0.2">
      <c r="A17" s="92">
        <f>IF(F17&lt;&gt;"",1+MAX($A$6:A16),"")</f>
        <v>8</v>
      </c>
      <c r="B17" s="94" t="s">
        <v>23</v>
      </c>
      <c r="C17" s="94" t="s">
        <v>24</v>
      </c>
      <c r="D17" s="94"/>
      <c r="E17" s="106" t="s">
        <v>231</v>
      </c>
      <c r="F17" s="96">
        <f>2*19.083*12.21</f>
        <v>466.00686000000002</v>
      </c>
      <c r="G17" s="104">
        <v>0.05</v>
      </c>
      <c r="H17" s="98">
        <f t="shared" si="0"/>
        <v>489.30720300000002</v>
      </c>
      <c r="I17" s="93" t="s">
        <v>21</v>
      </c>
      <c r="J17" s="99">
        <f t="shared" si="1"/>
        <v>0</v>
      </c>
      <c r="K17" s="105">
        <f t="shared" si="2"/>
        <v>0</v>
      </c>
      <c r="L17" s="101"/>
    </row>
    <row r="18" spans="1:56" ht="47.25" x14ac:dyDescent="0.2">
      <c r="A18" s="92">
        <f>IF(F18&lt;&gt;"",1+MAX($A$6:A17),"")</f>
        <v>9</v>
      </c>
      <c r="B18" s="94" t="s">
        <v>23</v>
      </c>
      <c r="C18" s="94" t="s">
        <v>24</v>
      </c>
      <c r="D18" s="94"/>
      <c r="E18" s="106" t="s">
        <v>232</v>
      </c>
      <c r="F18" s="96">
        <f>2*16*37.69</f>
        <v>1206.08</v>
      </c>
      <c r="G18" s="104">
        <v>0.05</v>
      </c>
      <c r="H18" s="98">
        <f t="shared" si="0"/>
        <v>1266.384</v>
      </c>
      <c r="I18" s="93" t="s">
        <v>21</v>
      </c>
      <c r="J18" s="99">
        <f t="shared" si="1"/>
        <v>0</v>
      </c>
      <c r="K18" s="105">
        <f t="shared" si="2"/>
        <v>0</v>
      </c>
      <c r="L18" s="101"/>
    </row>
    <row r="19" spans="1:56" x14ac:dyDescent="0.2">
      <c r="A19" s="92" t="str">
        <f>IF(F19&lt;&gt;"",1+MAX($A$6:A18),"")</f>
        <v/>
      </c>
      <c r="B19" s="94"/>
      <c r="C19" s="94"/>
      <c r="D19" s="94"/>
      <c r="E19" s="106"/>
      <c r="F19" s="96"/>
      <c r="G19" s="104"/>
      <c r="H19" s="98"/>
      <c r="I19" s="93"/>
      <c r="J19" s="99"/>
      <c r="K19" s="105"/>
      <c r="L19" s="101"/>
    </row>
    <row r="20" spans="1:56" s="14" customFormat="1" x14ac:dyDescent="0.2">
      <c r="A20" s="92" t="str">
        <f>IF(F20&lt;&gt;"",1+MAX($A$6:A19),"")</f>
        <v/>
      </c>
      <c r="B20" s="94"/>
      <c r="C20" s="94"/>
      <c r="D20" s="102"/>
      <c r="E20" s="103" t="s">
        <v>20</v>
      </c>
      <c r="F20" s="96"/>
      <c r="G20" s="104"/>
      <c r="H20" s="98"/>
      <c r="I20" s="93"/>
      <c r="J20" s="99"/>
      <c r="K20" s="105"/>
      <c r="L20" s="101"/>
      <c r="M20" s="27"/>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row>
    <row r="21" spans="1:56" s="14" customFormat="1" ht="31.5" x14ac:dyDescent="0.2">
      <c r="A21" s="92">
        <f>IF(F21&lt;&gt;"",1+MAX($A$6:A20),"")</f>
        <v>10</v>
      </c>
      <c r="B21" s="94" t="s">
        <v>23</v>
      </c>
      <c r="C21" s="94" t="s">
        <v>24</v>
      </c>
      <c r="D21" s="102"/>
      <c r="E21" s="106" t="s">
        <v>28</v>
      </c>
      <c r="F21" s="96">
        <f>9+11+10+4</f>
        <v>34</v>
      </c>
      <c r="G21" s="104">
        <v>0</v>
      </c>
      <c r="H21" s="98">
        <f>F21*(1+G21)</f>
        <v>34</v>
      </c>
      <c r="I21" s="93" t="s">
        <v>17</v>
      </c>
      <c r="J21" s="99">
        <v>0</v>
      </c>
      <c r="K21" s="105">
        <f>J21*H21</f>
        <v>0</v>
      </c>
      <c r="L21" s="101"/>
      <c r="M21" s="27"/>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row>
    <row r="22" spans="1:56" s="14" customFormat="1" ht="31.5" x14ac:dyDescent="0.2">
      <c r="A22" s="92">
        <f>IF(F22&lt;&gt;"",1+MAX($A$6:A21),"")</f>
        <v>11</v>
      </c>
      <c r="B22" s="94" t="s">
        <v>23</v>
      </c>
      <c r="C22" s="94" t="s">
        <v>24</v>
      </c>
      <c r="D22" s="102"/>
      <c r="E22" s="106" t="s">
        <v>29</v>
      </c>
      <c r="F22" s="96">
        <f>3+2+1</f>
        <v>6</v>
      </c>
      <c r="G22" s="104">
        <v>0</v>
      </c>
      <c r="H22" s="98">
        <f>F22*(1+G22)</f>
        <v>6</v>
      </c>
      <c r="I22" s="93" t="s">
        <v>17</v>
      </c>
      <c r="J22" s="99">
        <v>0</v>
      </c>
      <c r="K22" s="105">
        <f>J22*H22</f>
        <v>0</v>
      </c>
      <c r="L22" s="101"/>
      <c r="M22" s="27"/>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row>
    <row r="23" spans="1:56" s="14" customFormat="1" ht="31.5" x14ac:dyDescent="0.2">
      <c r="A23" s="92">
        <f>IF(F23&lt;&gt;"",1+MAX($A$6:A22),"")</f>
        <v>12</v>
      </c>
      <c r="B23" s="94" t="s">
        <v>23</v>
      </c>
      <c r="C23" s="94" t="s">
        <v>24</v>
      </c>
      <c r="D23" s="102"/>
      <c r="E23" s="106" t="s">
        <v>30</v>
      </c>
      <c r="F23" s="96">
        <v>2</v>
      </c>
      <c r="G23" s="104">
        <v>0</v>
      </c>
      <c r="H23" s="98">
        <f>F23*(1+G23)</f>
        <v>2</v>
      </c>
      <c r="I23" s="93" t="s">
        <v>17</v>
      </c>
      <c r="J23" s="99">
        <v>0</v>
      </c>
      <c r="K23" s="105">
        <f>J23*H23</f>
        <v>0</v>
      </c>
      <c r="L23" s="101"/>
      <c r="M23" s="27"/>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row>
    <row r="24" spans="1:56" x14ac:dyDescent="0.2">
      <c r="A24" s="92" t="str">
        <f>IF(F24&lt;&gt;"",1+MAX($A$6:A23),"")</f>
        <v/>
      </c>
      <c r="B24" s="94"/>
      <c r="C24" s="94"/>
      <c r="D24" s="94"/>
      <c r="E24" s="106"/>
      <c r="F24" s="96"/>
      <c r="G24" s="104"/>
      <c r="H24" s="98"/>
      <c r="I24" s="93"/>
      <c r="J24" s="99"/>
      <c r="K24" s="105"/>
      <c r="L24" s="101"/>
    </row>
    <row r="25" spans="1:56" x14ac:dyDescent="0.2">
      <c r="A25" s="92" t="str">
        <f>IF(F25&lt;&gt;"",1+MAX($A$6:A24),"")</f>
        <v/>
      </c>
      <c r="B25" s="93"/>
      <c r="C25" s="94"/>
      <c r="D25" s="94"/>
      <c r="E25" s="95" t="s">
        <v>33</v>
      </c>
      <c r="F25" s="96"/>
      <c r="G25" s="97"/>
      <c r="H25" s="98"/>
      <c r="I25" s="93"/>
      <c r="J25" s="99"/>
      <c r="K25" s="100"/>
      <c r="L25" s="101"/>
    </row>
    <row r="26" spans="1:56" s="14" customFormat="1" x14ac:dyDescent="0.2">
      <c r="A26" s="92" t="str">
        <f>IF(F26&lt;&gt;"",1+MAX($A$6:A25),"")</f>
        <v/>
      </c>
      <c r="B26" s="94"/>
      <c r="C26" s="94"/>
      <c r="D26" s="102"/>
      <c r="E26" s="103" t="s">
        <v>25</v>
      </c>
      <c r="F26" s="96"/>
      <c r="G26" s="104"/>
      <c r="H26" s="98"/>
      <c r="I26" s="93"/>
      <c r="J26" s="99"/>
      <c r="K26" s="105"/>
      <c r="L26" s="101"/>
      <c r="M26" s="27"/>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row>
    <row r="27" spans="1:56" s="14" customFormat="1" ht="47.25" x14ac:dyDescent="0.2">
      <c r="A27" s="92">
        <f>IF(F27&lt;&gt;"",1+MAX($A$6:A26),"")</f>
        <v>13</v>
      </c>
      <c r="B27" s="94" t="s">
        <v>23</v>
      </c>
      <c r="C27" s="94" t="s">
        <v>24</v>
      </c>
      <c r="D27" s="102"/>
      <c r="E27" s="106" t="s">
        <v>233</v>
      </c>
      <c r="F27" s="96">
        <f>(3*18)*27.48</f>
        <v>1483.92</v>
      </c>
      <c r="G27" s="104">
        <v>0.05</v>
      </c>
      <c r="H27" s="98">
        <f>F27*(1+G27)</f>
        <v>1558.1160000000002</v>
      </c>
      <c r="I27" s="93" t="s">
        <v>21</v>
      </c>
      <c r="J27" s="99">
        <f t="shared" ref="J27:J35" si="3">J$10</f>
        <v>0</v>
      </c>
      <c r="K27" s="105">
        <f>J27*H27</f>
        <v>0</v>
      </c>
      <c r="L27" s="101"/>
      <c r="M27" s="27"/>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row>
    <row r="28" spans="1:56" ht="47.25" x14ac:dyDescent="0.2">
      <c r="A28" s="92">
        <f>IF(F28&lt;&gt;"",1+MAX($A$6:A27),"")</f>
        <v>14</v>
      </c>
      <c r="B28" s="94" t="s">
        <v>23</v>
      </c>
      <c r="C28" s="94" t="s">
        <v>24</v>
      </c>
      <c r="D28" s="94"/>
      <c r="E28" s="106" t="s">
        <v>234</v>
      </c>
      <c r="F28" s="96">
        <f>(10*18+1*18.25)*50.81</f>
        <v>10073.0825</v>
      </c>
      <c r="G28" s="104">
        <v>0.05</v>
      </c>
      <c r="H28" s="98">
        <f t="shared" ref="H28:H35" si="4">F28*(1+G28)</f>
        <v>10576.736625000001</v>
      </c>
      <c r="I28" s="93" t="s">
        <v>21</v>
      </c>
      <c r="J28" s="99">
        <f t="shared" si="3"/>
        <v>0</v>
      </c>
      <c r="K28" s="105">
        <f t="shared" ref="K28:K35" si="5">J28*H28</f>
        <v>0</v>
      </c>
      <c r="L28" s="101"/>
    </row>
    <row r="29" spans="1:56" ht="47.25" x14ac:dyDescent="0.2">
      <c r="A29" s="92">
        <f>IF(F29&lt;&gt;"",1+MAX($A$6:A28),"")</f>
        <v>15</v>
      </c>
      <c r="B29" s="94" t="s">
        <v>23</v>
      </c>
      <c r="C29" s="94" t="s">
        <v>24</v>
      </c>
      <c r="D29" s="94"/>
      <c r="E29" s="106" t="s">
        <v>235</v>
      </c>
      <c r="F29" s="96">
        <f>(8*13)*37.69</f>
        <v>3919.7599999999998</v>
      </c>
      <c r="G29" s="104">
        <v>0.05</v>
      </c>
      <c r="H29" s="98">
        <f t="shared" si="4"/>
        <v>4115.7479999999996</v>
      </c>
      <c r="I29" s="93" t="s">
        <v>21</v>
      </c>
      <c r="J29" s="99">
        <f t="shared" si="3"/>
        <v>0</v>
      </c>
      <c r="K29" s="105">
        <f t="shared" si="5"/>
        <v>0</v>
      </c>
      <c r="L29" s="101"/>
    </row>
    <row r="30" spans="1:56" ht="47.25" x14ac:dyDescent="0.2">
      <c r="A30" s="92">
        <f>IF(F30&lt;&gt;"",1+MAX($A$6:A29),"")</f>
        <v>16</v>
      </c>
      <c r="B30" s="94" t="s">
        <v>23</v>
      </c>
      <c r="C30" s="94" t="s">
        <v>24</v>
      </c>
      <c r="D30" s="94"/>
      <c r="E30" s="106" t="s">
        <v>225</v>
      </c>
      <c r="F30" s="96">
        <f>(3*18)*76.07</f>
        <v>4107.78</v>
      </c>
      <c r="G30" s="104">
        <v>0.05</v>
      </c>
      <c r="H30" s="98">
        <f t="shared" si="4"/>
        <v>4313.1689999999999</v>
      </c>
      <c r="I30" s="93" t="s">
        <v>21</v>
      </c>
      <c r="J30" s="99">
        <f t="shared" si="3"/>
        <v>0</v>
      </c>
      <c r="K30" s="105">
        <f t="shared" si="5"/>
        <v>0</v>
      </c>
      <c r="L30" s="101"/>
    </row>
    <row r="31" spans="1:56" ht="47.25" x14ac:dyDescent="0.2">
      <c r="A31" s="92">
        <f>IF(F31&lt;&gt;"",1+MAX($A$6:A30),"")</f>
        <v>17</v>
      </c>
      <c r="B31" s="94" t="s">
        <v>23</v>
      </c>
      <c r="C31" s="94" t="s">
        <v>24</v>
      </c>
      <c r="D31" s="94"/>
      <c r="E31" s="106" t="s">
        <v>236</v>
      </c>
      <c r="F31" s="96">
        <f>(2*18*72)</f>
        <v>2592</v>
      </c>
      <c r="G31" s="104">
        <v>0.05</v>
      </c>
      <c r="H31" s="98">
        <f t="shared" si="4"/>
        <v>2721.6</v>
      </c>
      <c r="I31" s="93" t="s">
        <v>21</v>
      </c>
      <c r="J31" s="99">
        <f t="shared" si="3"/>
        <v>0</v>
      </c>
      <c r="K31" s="105">
        <f t="shared" si="5"/>
        <v>0</v>
      </c>
      <c r="L31" s="101"/>
    </row>
    <row r="32" spans="1:56" x14ac:dyDescent="0.2">
      <c r="A32" s="92">
        <f>IF(F32&lt;&gt;"",1+MAX($A$6:A31),"")</f>
        <v>18</v>
      </c>
      <c r="B32" s="94" t="s">
        <v>23</v>
      </c>
      <c r="C32" s="94" t="s">
        <v>24</v>
      </c>
      <c r="D32" s="94"/>
      <c r="E32" s="106" t="s">
        <v>26</v>
      </c>
      <c r="F32" s="96">
        <f>1*18*25.82</f>
        <v>464.76</v>
      </c>
      <c r="G32" s="104">
        <v>0.05</v>
      </c>
      <c r="H32" s="98">
        <f t="shared" si="4"/>
        <v>487.99799999999999</v>
      </c>
      <c r="I32" s="93" t="s">
        <v>21</v>
      </c>
      <c r="J32" s="99">
        <f t="shared" si="3"/>
        <v>0</v>
      </c>
      <c r="K32" s="105">
        <f t="shared" si="5"/>
        <v>0</v>
      </c>
      <c r="L32" s="101"/>
    </row>
    <row r="33" spans="1:56" x14ac:dyDescent="0.2">
      <c r="A33" s="92">
        <f>IF(F33&lt;&gt;"",1+MAX($A$6:A32),"")</f>
        <v>19</v>
      </c>
      <c r="B33" s="94" t="s">
        <v>23</v>
      </c>
      <c r="C33" s="94" t="s">
        <v>24</v>
      </c>
      <c r="D33" s="94"/>
      <c r="E33" s="106" t="s">
        <v>27</v>
      </c>
      <c r="F33" s="96">
        <f>2*18*39.43</f>
        <v>1419.48</v>
      </c>
      <c r="G33" s="104">
        <v>0.05</v>
      </c>
      <c r="H33" s="98">
        <f t="shared" si="4"/>
        <v>1490.4540000000002</v>
      </c>
      <c r="I33" s="93" t="s">
        <v>21</v>
      </c>
      <c r="J33" s="99">
        <f t="shared" si="3"/>
        <v>0</v>
      </c>
      <c r="K33" s="105">
        <f t="shared" si="5"/>
        <v>0</v>
      </c>
      <c r="L33" s="101"/>
    </row>
    <row r="34" spans="1:56" x14ac:dyDescent="0.2">
      <c r="A34" s="92">
        <f>IF(F34&lt;&gt;"",1+MAX($A$6:A33),"")</f>
        <v>20</v>
      </c>
      <c r="B34" s="94" t="s">
        <v>23</v>
      </c>
      <c r="C34" s="94" t="s">
        <v>24</v>
      </c>
      <c r="D34" s="94"/>
      <c r="E34" s="106" t="s">
        <v>34</v>
      </c>
      <c r="F34" s="96">
        <f>1*18*27.48</f>
        <v>494.64</v>
      </c>
      <c r="G34" s="104">
        <v>0.05</v>
      </c>
      <c r="H34" s="98">
        <f t="shared" si="4"/>
        <v>519.37199999999996</v>
      </c>
      <c r="I34" s="93" t="s">
        <v>21</v>
      </c>
      <c r="J34" s="99">
        <f t="shared" si="3"/>
        <v>0</v>
      </c>
      <c r="K34" s="105">
        <f t="shared" si="5"/>
        <v>0</v>
      </c>
      <c r="L34" s="101"/>
    </row>
    <row r="35" spans="1:56" x14ac:dyDescent="0.2">
      <c r="A35" s="92">
        <f>IF(F35&lt;&gt;"",1+MAX($A$6:A34),"")</f>
        <v>21</v>
      </c>
      <c r="B35" s="94" t="s">
        <v>23</v>
      </c>
      <c r="C35" s="94" t="s">
        <v>24</v>
      </c>
      <c r="D35" s="94"/>
      <c r="E35" s="106" t="s">
        <v>35</v>
      </c>
      <c r="F35" s="96">
        <f>4*18*37.69</f>
        <v>2713.68</v>
      </c>
      <c r="G35" s="104">
        <v>0.05</v>
      </c>
      <c r="H35" s="98">
        <f t="shared" si="4"/>
        <v>2849.364</v>
      </c>
      <c r="I35" s="93" t="s">
        <v>21</v>
      </c>
      <c r="J35" s="99">
        <f t="shared" si="3"/>
        <v>0</v>
      </c>
      <c r="K35" s="105">
        <f t="shared" si="5"/>
        <v>0</v>
      </c>
      <c r="L35" s="101"/>
    </row>
    <row r="36" spans="1:56" x14ac:dyDescent="0.2">
      <c r="A36" s="92" t="str">
        <f>IF(F36&lt;&gt;"",1+MAX($A$6:A35),"")</f>
        <v/>
      </c>
      <c r="B36" s="94"/>
      <c r="C36" s="94"/>
      <c r="D36" s="94"/>
      <c r="E36" s="106"/>
      <c r="F36" s="96"/>
      <c r="G36" s="104"/>
      <c r="H36" s="98"/>
      <c r="I36" s="93"/>
      <c r="J36" s="99"/>
      <c r="K36" s="105"/>
      <c r="L36" s="101"/>
    </row>
    <row r="37" spans="1:56" s="14" customFormat="1" x14ac:dyDescent="0.2">
      <c r="A37" s="92" t="str">
        <f>IF(F37&lt;&gt;"",1+MAX($A$6:A36),"")</f>
        <v/>
      </c>
      <c r="B37" s="94"/>
      <c r="C37" s="94"/>
      <c r="D37" s="102"/>
      <c r="E37" s="103" t="s">
        <v>37</v>
      </c>
      <c r="F37" s="96"/>
      <c r="G37" s="104"/>
      <c r="H37" s="98"/>
      <c r="I37" s="93"/>
      <c r="J37" s="99"/>
      <c r="K37" s="105"/>
      <c r="L37" s="101"/>
      <c r="M37" s="27"/>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row>
    <row r="38" spans="1:56" s="14" customFormat="1" x14ac:dyDescent="0.2">
      <c r="A38" s="92">
        <f>IF(F38&lt;&gt;"",1+MAX($A$6:A37),"")</f>
        <v>22</v>
      </c>
      <c r="B38" s="94" t="s">
        <v>23</v>
      </c>
      <c r="C38" s="94"/>
      <c r="D38" s="102"/>
      <c r="E38" s="106" t="s">
        <v>39</v>
      </c>
      <c r="F38" s="96">
        <f>11</f>
        <v>11</v>
      </c>
      <c r="G38" s="104">
        <v>0</v>
      </c>
      <c r="H38" s="98">
        <f t="shared" ref="H38:H43" si="6">F38*(1+G38)</f>
        <v>11</v>
      </c>
      <c r="I38" s="93" t="s">
        <v>17</v>
      </c>
      <c r="J38" s="99">
        <v>0</v>
      </c>
      <c r="K38" s="105">
        <f t="shared" ref="K38:K43" si="7">J38*H38</f>
        <v>0</v>
      </c>
      <c r="L38" s="101"/>
      <c r="M38" s="27"/>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row>
    <row r="39" spans="1:56" s="14" customFormat="1" x14ac:dyDescent="0.2">
      <c r="A39" s="92">
        <f>IF(F39&lt;&gt;"",1+MAX($A$6:A38),"")</f>
        <v>23</v>
      </c>
      <c r="B39" s="94" t="s">
        <v>23</v>
      </c>
      <c r="C39" s="94"/>
      <c r="D39" s="102"/>
      <c r="E39" s="106" t="s">
        <v>43</v>
      </c>
      <c r="F39" s="96">
        <f>13*2+7*2</f>
        <v>40</v>
      </c>
      <c r="G39" s="104">
        <v>0</v>
      </c>
      <c r="H39" s="98">
        <f t="shared" si="6"/>
        <v>40</v>
      </c>
      <c r="I39" s="93" t="s">
        <v>17</v>
      </c>
      <c r="J39" s="99">
        <v>0</v>
      </c>
      <c r="K39" s="105">
        <f t="shared" si="7"/>
        <v>0</v>
      </c>
      <c r="L39" s="101"/>
      <c r="M39" s="27"/>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row>
    <row r="40" spans="1:56" s="14" customFormat="1" x14ac:dyDescent="0.2">
      <c r="A40" s="92">
        <f>IF(F40&lt;&gt;"",1+MAX($A$6:A39),"")</f>
        <v>24</v>
      </c>
      <c r="B40" s="94" t="s">
        <v>23</v>
      </c>
      <c r="C40" s="94"/>
      <c r="D40" s="102"/>
      <c r="E40" s="106" t="s">
        <v>50</v>
      </c>
      <c r="F40" s="96">
        <f>(470/4+1)+23</f>
        <v>141.5</v>
      </c>
      <c r="G40" s="104">
        <v>0</v>
      </c>
      <c r="H40" s="98">
        <f t="shared" si="6"/>
        <v>141.5</v>
      </c>
      <c r="I40" s="93" t="s">
        <v>17</v>
      </c>
      <c r="J40" s="99">
        <v>0</v>
      </c>
      <c r="K40" s="105">
        <f t="shared" si="7"/>
        <v>0</v>
      </c>
      <c r="L40" s="101"/>
      <c r="M40" s="27"/>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row>
    <row r="41" spans="1:56" s="14" customFormat="1" x14ac:dyDescent="0.2">
      <c r="A41" s="92">
        <f>IF(F41&lt;&gt;"",1+MAX($A$6:A40),"")</f>
        <v>25</v>
      </c>
      <c r="B41" s="94" t="s">
        <v>23</v>
      </c>
      <c r="C41" s="94"/>
      <c r="D41" s="102"/>
      <c r="E41" s="106" t="s">
        <v>49</v>
      </c>
      <c r="F41" s="96">
        <f>470+102.5</f>
        <v>572.5</v>
      </c>
      <c r="G41" s="104">
        <v>0.05</v>
      </c>
      <c r="H41" s="98">
        <f t="shared" si="6"/>
        <v>601.125</v>
      </c>
      <c r="I41" s="93" t="s">
        <v>44</v>
      </c>
      <c r="J41" s="99">
        <v>0</v>
      </c>
      <c r="K41" s="105">
        <f t="shared" si="7"/>
        <v>0</v>
      </c>
      <c r="L41" s="101"/>
      <c r="M41" s="27"/>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row>
    <row r="42" spans="1:56" s="14" customFormat="1" x14ac:dyDescent="0.2">
      <c r="A42" s="92">
        <f>IF(F42&lt;&gt;"",1+MAX($A$6:A41),"")</f>
        <v>26</v>
      </c>
      <c r="B42" s="94" t="s">
        <v>23</v>
      </c>
      <c r="C42" s="94"/>
      <c r="D42" s="102"/>
      <c r="E42" s="106" t="s">
        <v>51</v>
      </c>
      <c r="F42" s="96">
        <v>153.1</v>
      </c>
      <c r="G42" s="104">
        <v>0.05</v>
      </c>
      <c r="H42" s="98">
        <f t="shared" si="6"/>
        <v>160.755</v>
      </c>
      <c r="I42" s="93" t="s">
        <v>44</v>
      </c>
      <c r="J42" s="99">
        <v>0</v>
      </c>
      <c r="K42" s="105">
        <f t="shared" si="7"/>
        <v>0</v>
      </c>
      <c r="L42" s="101"/>
      <c r="M42" s="27"/>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row>
    <row r="43" spans="1:56" s="14" customFormat="1" x14ac:dyDescent="0.2">
      <c r="A43" s="92">
        <f>IF(F43&lt;&gt;"",1+MAX($A$6:A42),"")</f>
        <v>27</v>
      </c>
      <c r="B43" s="94" t="s">
        <v>23</v>
      </c>
      <c r="C43" s="94"/>
      <c r="D43" s="102"/>
      <c r="E43" s="106" t="s">
        <v>94</v>
      </c>
      <c r="F43" s="96">
        <f>(3893.5*2)/4+1</f>
        <v>1947.75</v>
      </c>
      <c r="G43" s="104">
        <v>0</v>
      </c>
      <c r="H43" s="98">
        <f t="shared" si="6"/>
        <v>1947.75</v>
      </c>
      <c r="I43" s="93" t="s">
        <v>17</v>
      </c>
      <c r="J43" s="99">
        <v>0</v>
      </c>
      <c r="K43" s="105">
        <f t="shared" si="7"/>
        <v>0</v>
      </c>
      <c r="L43" s="101"/>
      <c r="M43" s="27"/>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8"/>
    </row>
    <row r="44" spans="1:56" x14ac:dyDescent="0.2">
      <c r="A44" s="92" t="str">
        <f>IF(F44&lt;&gt;"",1+MAX($A$6:A43),"")</f>
        <v/>
      </c>
      <c r="B44" s="94"/>
      <c r="C44" s="94"/>
      <c r="D44" s="94"/>
      <c r="E44" s="106"/>
      <c r="F44" s="96"/>
      <c r="G44" s="104"/>
      <c r="H44" s="98"/>
      <c r="I44" s="93"/>
      <c r="J44" s="99"/>
      <c r="K44" s="105"/>
      <c r="L44" s="101"/>
    </row>
    <row r="45" spans="1:56" s="14" customFormat="1" x14ac:dyDescent="0.2">
      <c r="A45" s="92" t="str">
        <f>IF(F45&lt;&gt;"",1+MAX($A$6:A44),"")</f>
        <v/>
      </c>
      <c r="B45" s="94"/>
      <c r="C45" s="94"/>
      <c r="D45" s="102"/>
      <c r="E45" s="103" t="s">
        <v>22</v>
      </c>
      <c r="F45" s="96"/>
      <c r="G45" s="104"/>
      <c r="H45" s="98"/>
      <c r="I45" s="93"/>
      <c r="J45" s="99"/>
      <c r="K45" s="105"/>
      <c r="L45" s="101"/>
      <c r="M45" s="27"/>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c r="AZ45" s="28"/>
      <c r="BA45" s="28"/>
      <c r="BB45" s="28"/>
      <c r="BC45" s="28"/>
      <c r="BD45" s="28"/>
    </row>
    <row r="46" spans="1:56" s="14" customFormat="1" x14ac:dyDescent="0.2">
      <c r="A46" s="92">
        <f>IF(F46&lt;&gt;"",1+MAX($A$6:A45),"")</f>
        <v>28</v>
      </c>
      <c r="B46" s="94" t="s">
        <v>23</v>
      </c>
      <c r="C46" s="94"/>
      <c r="D46" s="102"/>
      <c r="E46" s="106" t="s">
        <v>97</v>
      </c>
      <c r="F46" s="96">
        <f>287.1*42.79</f>
        <v>12285.009</v>
      </c>
      <c r="G46" s="104">
        <v>0.05</v>
      </c>
      <c r="H46" s="98">
        <f t="shared" ref="H46:H61" si="8">F46*(1+G46)</f>
        <v>12899.259450000001</v>
      </c>
      <c r="I46" s="93" t="s">
        <v>21</v>
      </c>
      <c r="J46" s="99">
        <f t="shared" ref="J46:J68" si="9">J$10</f>
        <v>0</v>
      </c>
      <c r="K46" s="105">
        <f t="shared" ref="K46:K61" si="10">J46*H46</f>
        <v>0</v>
      </c>
      <c r="L46" s="101"/>
      <c r="M46" s="27"/>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8"/>
      <c r="AV46" s="28"/>
      <c r="AW46" s="28"/>
      <c r="AX46" s="28"/>
      <c r="AY46" s="28"/>
      <c r="AZ46" s="28"/>
      <c r="BA46" s="28"/>
      <c r="BB46" s="28"/>
      <c r="BC46" s="28"/>
      <c r="BD46" s="28"/>
    </row>
    <row r="47" spans="1:56" s="14" customFormat="1" x14ac:dyDescent="0.2">
      <c r="A47" s="92">
        <f>IF(F47&lt;&gt;"",1+MAX($A$6:A46),"")</f>
        <v>29</v>
      </c>
      <c r="B47" s="94" t="s">
        <v>23</v>
      </c>
      <c r="C47" s="94"/>
      <c r="D47" s="102"/>
      <c r="E47" s="106" t="s">
        <v>118</v>
      </c>
      <c r="F47" s="96">
        <f>28.2*76.33</f>
        <v>2152.5059999999999</v>
      </c>
      <c r="G47" s="104">
        <v>0.05</v>
      </c>
      <c r="H47" s="98">
        <f>F47*(1+G47)</f>
        <v>2260.1313</v>
      </c>
      <c r="I47" s="93" t="s">
        <v>21</v>
      </c>
      <c r="J47" s="99">
        <f t="shared" si="9"/>
        <v>0</v>
      </c>
      <c r="K47" s="105">
        <f>J47*H47</f>
        <v>0</v>
      </c>
      <c r="L47" s="101"/>
      <c r="M47" s="27"/>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row>
    <row r="48" spans="1:56" s="14" customFormat="1" x14ac:dyDescent="0.2">
      <c r="A48" s="92">
        <f>IF(F48&lt;&gt;"",1+MAX($A$6:A47),"")</f>
        <v>30</v>
      </c>
      <c r="B48" s="94" t="s">
        <v>23</v>
      </c>
      <c r="C48" s="94"/>
      <c r="D48" s="102"/>
      <c r="E48" s="106" t="s">
        <v>119</v>
      </c>
      <c r="F48" s="96">
        <f>65.7*5.41</f>
        <v>355.43700000000001</v>
      </c>
      <c r="G48" s="104">
        <v>0.05</v>
      </c>
      <c r="H48" s="98">
        <f t="shared" si="8"/>
        <v>373.20885000000004</v>
      </c>
      <c r="I48" s="93" t="s">
        <v>21</v>
      </c>
      <c r="J48" s="99">
        <f t="shared" si="9"/>
        <v>0</v>
      </c>
      <c r="K48" s="105">
        <f t="shared" si="10"/>
        <v>0</v>
      </c>
      <c r="L48" s="101"/>
      <c r="M48" s="27"/>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row>
    <row r="49" spans="1:56" s="14" customFormat="1" x14ac:dyDescent="0.2">
      <c r="A49" s="92">
        <f>IF(F49&lt;&gt;"",1+MAX($A$6:A48),"")</f>
        <v>31</v>
      </c>
      <c r="B49" s="94" t="s">
        <v>23</v>
      </c>
      <c r="C49" s="94"/>
      <c r="D49" s="102"/>
      <c r="E49" s="106" t="s">
        <v>120</v>
      </c>
      <c r="F49" s="96">
        <f>11.6*12.21</f>
        <v>141.636</v>
      </c>
      <c r="G49" s="104">
        <v>0.05</v>
      </c>
      <c r="H49" s="98">
        <f>F49*(1+G49)</f>
        <v>148.71780000000001</v>
      </c>
      <c r="I49" s="93" t="s">
        <v>21</v>
      </c>
      <c r="J49" s="99">
        <f t="shared" si="9"/>
        <v>0</v>
      </c>
      <c r="K49" s="105">
        <f>J49*H49</f>
        <v>0</v>
      </c>
      <c r="L49" s="101"/>
      <c r="M49" s="27"/>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row>
    <row r="50" spans="1:56" s="14" customFormat="1" x14ac:dyDescent="0.2">
      <c r="A50" s="92">
        <f>IF(F50&lt;&gt;"",1+MAX($A$6:A49),"")</f>
        <v>32</v>
      </c>
      <c r="B50" s="94" t="s">
        <v>23</v>
      </c>
      <c r="C50" s="94"/>
      <c r="D50" s="102"/>
      <c r="E50" s="106" t="s">
        <v>121</v>
      </c>
      <c r="F50" s="96">
        <f>247.8*27.48</f>
        <v>6809.5440000000008</v>
      </c>
      <c r="G50" s="104">
        <v>0.05</v>
      </c>
      <c r="H50" s="98">
        <f>F50*(1+G50)</f>
        <v>7150.021200000001</v>
      </c>
      <c r="I50" s="93" t="s">
        <v>21</v>
      </c>
      <c r="J50" s="99">
        <f t="shared" si="9"/>
        <v>0</v>
      </c>
      <c r="K50" s="105">
        <f>J50*H50</f>
        <v>0</v>
      </c>
      <c r="L50" s="101"/>
      <c r="M50" s="27"/>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row>
    <row r="51" spans="1:56" s="14" customFormat="1" x14ac:dyDescent="0.2">
      <c r="A51" s="92">
        <f>IF(F51&lt;&gt;"",1+MAX($A$6:A50),"")</f>
        <v>33</v>
      </c>
      <c r="B51" s="94" t="s">
        <v>23</v>
      </c>
      <c r="C51" s="94"/>
      <c r="D51" s="102"/>
      <c r="E51" s="106" t="s">
        <v>81</v>
      </c>
      <c r="F51" s="96">
        <f>1250.3*19</f>
        <v>23755.7</v>
      </c>
      <c r="G51" s="104">
        <v>0.05</v>
      </c>
      <c r="H51" s="98">
        <f t="shared" si="8"/>
        <v>24943.485000000001</v>
      </c>
      <c r="I51" s="93" t="s">
        <v>21</v>
      </c>
      <c r="J51" s="99">
        <f t="shared" si="9"/>
        <v>0</v>
      </c>
      <c r="K51" s="105">
        <f t="shared" si="10"/>
        <v>0</v>
      </c>
      <c r="L51" s="101"/>
      <c r="M51" s="27"/>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row>
    <row r="52" spans="1:56" s="14" customFormat="1" x14ac:dyDescent="0.2">
      <c r="A52" s="92">
        <f>IF(F52&lt;&gt;"",1+MAX($A$6:A51),"")</f>
        <v>34</v>
      </c>
      <c r="B52" s="94" t="s">
        <v>23</v>
      </c>
      <c r="C52" s="94"/>
      <c r="D52" s="102"/>
      <c r="E52" s="106" t="s">
        <v>112</v>
      </c>
      <c r="F52" s="96">
        <f>61.1*26</f>
        <v>1588.6000000000001</v>
      </c>
      <c r="G52" s="104">
        <v>0.05</v>
      </c>
      <c r="H52" s="98">
        <f>F52*(1+G52)</f>
        <v>1668.0300000000002</v>
      </c>
      <c r="I52" s="93" t="s">
        <v>21</v>
      </c>
      <c r="J52" s="99">
        <f t="shared" si="9"/>
        <v>0</v>
      </c>
      <c r="K52" s="105">
        <f>J52*H52</f>
        <v>0</v>
      </c>
      <c r="L52" s="101"/>
      <c r="M52" s="27"/>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row>
    <row r="53" spans="1:56" s="14" customFormat="1" x14ac:dyDescent="0.2">
      <c r="A53" s="92">
        <f>IF(F53&lt;&gt;"",1+MAX($A$6:A52),"")</f>
        <v>35</v>
      </c>
      <c r="B53" s="94" t="s">
        <v>23</v>
      </c>
      <c r="C53" s="94"/>
      <c r="D53" s="102"/>
      <c r="E53" s="106" t="s">
        <v>82</v>
      </c>
      <c r="F53" s="96">
        <f>289*22</f>
        <v>6358</v>
      </c>
      <c r="G53" s="104">
        <v>0.05</v>
      </c>
      <c r="H53" s="98">
        <f t="shared" si="8"/>
        <v>6675.9000000000005</v>
      </c>
      <c r="I53" s="93" t="s">
        <v>21</v>
      </c>
      <c r="J53" s="99">
        <f t="shared" si="9"/>
        <v>0</v>
      </c>
      <c r="K53" s="105">
        <f t="shared" si="10"/>
        <v>0</v>
      </c>
      <c r="L53" s="101"/>
      <c r="M53" s="27"/>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row>
    <row r="54" spans="1:56" s="14" customFormat="1" x14ac:dyDescent="0.2">
      <c r="A54" s="92">
        <f>IF(F54&lt;&gt;"",1+MAX($A$6:A53),"")</f>
        <v>36</v>
      </c>
      <c r="B54" s="94" t="s">
        <v>23</v>
      </c>
      <c r="C54" s="94"/>
      <c r="D54" s="102"/>
      <c r="E54" s="106" t="s">
        <v>100</v>
      </c>
      <c r="F54" s="96">
        <f>28.8*26</f>
        <v>748.80000000000007</v>
      </c>
      <c r="G54" s="104">
        <v>0.05</v>
      </c>
      <c r="H54" s="98">
        <f t="shared" si="8"/>
        <v>786.24000000000012</v>
      </c>
      <c r="I54" s="93" t="s">
        <v>21</v>
      </c>
      <c r="J54" s="99">
        <f t="shared" si="9"/>
        <v>0</v>
      </c>
      <c r="K54" s="105">
        <f t="shared" si="10"/>
        <v>0</v>
      </c>
      <c r="L54" s="101"/>
      <c r="M54" s="27"/>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row>
    <row r="55" spans="1:56" s="14" customFormat="1" x14ac:dyDescent="0.2">
      <c r="A55" s="92">
        <f>IF(F55&lt;&gt;"",1+MAX($A$6:A54),"")</f>
        <v>37</v>
      </c>
      <c r="B55" s="94" t="s">
        <v>23</v>
      </c>
      <c r="C55" s="94"/>
      <c r="D55" s="102"/>
      <c r="E55" s="106" t="s">
        <v>83</v>
      </c>
      <c r="F55" s="96">
        <f>233.7*26</f>
        <v>6076.2</v>
      </c>
      <c r="G55" s="104">
        <v>0.05</v>
      </c>
      <c r="H55" s="98">
        <f t="shared" si="8"/>
        <v>6380.01</v>
      </c>
      <c r="I55" s="93" t="s">
        <v>21</v>
      </c>
      <c r="J55" s="99">
        <f t="shared" si="9"/>
        <v>0</v>
      </c>
      <c r="K55" s="105">
        <f t="shared" si="10"/>
        <v>0</v>
      </c>
      <c r="L55" s="101"/>
      <c r="M55" s="27"/>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row>
    <row r="56" spans="1:56" s="14" customFormat="1" x14ac:dyDescent="0.2">
      <c r="A56" s="92">
        <f>IF(F56&lt;&gt;"",1+MAX($A$6:A55),"")</f>
        <v>38</v>
      </c>
      <c r="B56" s="94" t="s">
        <v>23</v>
      </c>
      <c r="C56" s="94"/>
      <c r="D56" s="102"/>
      <c r="E56" s="106" t="s">
        <v>101</v>
      </c>
      <c r="F56" s="96">
        <f>543.2*31</f>
        <v>16839.2</v>
      </c>
      <c r="G56" s="104">
        <v>0.05</v>
      </c>
      <c r="H56" s="98">
        <f t="shared" si="8"/>
        <v>17681.16</v>
      </c>
      <c r="I56" s="93" t="s">
        <v>21</v>
      </c>
      <c r="J56" s="99">
        <f t="shared" si="9"/>
        <v>0</v>
      </c>
      <c r="K56" s="105">
        <f t="shared" si="10"/>
        <v>0</v>
      </c>
      <c r="L56" s="101"/>
      <c r="M56" s="27"/>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row>
    <row r="57" spans="1:56" s="14" customFormat="1" x14ac:dyDescent="0.2">
      <c r="A57" s="92">
        <f>IF(F57&lt;&gt;"",1+MAX($A$6:A56),"")</f>
        <v>39</v>
      </c>
      <c r="B57" s="94" t="s">
        <v>23</v>
      </c>
      <c r="C57" s="94"/>
      <c r="D57" s="102"/>
      <c r="E57" s="106" t="s">
        <v>113</v>
      </c>
      <c r="F57" s="96">
        <f>31.8*77</f>
        <v>2448.6</v>
      </c>
      <c r="G57" s="104">
        <v>0.05</v>
      </c>
      <c r="H57" s="98">
        <f>F57*(1+G57)</f>
        <v>2571.0300000000002</v>
      </c>
      <c r="I57" s="93" t="s">
        <v>21</v>
      </c>
      <c r="J57" s="99">
        <f t="shared" si="9"/>
        <v>0</v>
      </c>
      <c r="K57" s="105">
        <f>J57*H57</f>
        <v>0</v>
      </c>
      <c r="L57" s="101"/>
      <c r="M57" s="27"/>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row>
    <row r="58" spans="1:56" s="14" customFormat="1" x14ac:dyDescent="0.2">
      <c r="A58" s="92">
        <f>IF(F58&lt;&gt;"",1+MAX($A$6:A57),"")</f>
        <v>40</v>
      </c>
      <c r="B58" s="94" t="s">
        <v>23</v>
      </c>
      <c r="C58" s="94"/>
      <c r="D58" s="102"/>
      <c r="E58" s="106" t="s">
        <v>69</v>
      </c>
      <c r="F58" s="96">
        <f>397*35</f>
        <v>13895</v>
      </c>
      <c r="G58" s="104">
        <v>0.05</v>
      </c>
      <c r="H58" s="98">
        <f t="shared" si="8"/>
        <v>14589.75</v>
      </c>
      <c r="I58" s="93" t="s">
        <v>21</v>
      </c>
      <c r="J58" s="99">
        <f t="shared" si="9"/>
        <v>0</v>
      </c>
      <c r="K58" s="105">
        <f t="shared" si="10"/>
        <v>0</v>
      </c>
      <c r="L58" s="101"/>
      <c r="M58" s="27"/>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row>
    <row r="59" spans="1:56" s="14" customFormat="1" x14ac:dyDescent="0.2">
      <c r="A59" s="92">
        <f>IF(F59&lt;&gt;"",1+MAX($A$6:A58),"")</f>
        <v>41</v>
      </c>
      <c r="B59" s="94" t="s">
        <v>23</v>
      </c>
      <c r="C59" s="94"/>
      <c r="D59" s="102"/>
      <c r="E59" s="106" t="s">
        <v>102</v>
      </c>
      <c r="F59" s="96">
        <f>40.2*40</f>
        <v>1608</v>
      </c>
      <c r="G59" s="104">
        <v>0.05</v>
      </c>
      <c r="H59" s="98">
        <f t="shared" si="8"/>
        <v>1688.4</v>
      </c>
      <c r="I59" s="93" t="s">
        <v>21</v>
      </c>
      <c r="J59" s="99">
        <f t="shared" si="9"/>
        <v>0</v>
      </c>
      <c r="K59" s="105">
        <f t="shared" si="10"/>
        <v>0</v>
      </c>
      <c r="L59" s="101"/>
      <c r="M59" s="27"/>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row>
    <row r="60" spans="1:56" s="14" customFormat="1" x14ac:dyDescent="0.2">
      <c r="A60" s="92">
        <f>IF(F60&lt;&gt;"",1+MAX($A$6:A59),"")</f>
        <v>42</v>
      </c>
      <c r="B60" s="94" t="s">
        <v>23</v>
      </c>
      <c r="C60" s="94"/>
      <c r="D60" s="102"/>
      <c r="E60" s="106" t="s">
        <v>84</v>
      </c>
      <c r="F60" s="96">
        <f>171.2*44</f>
        <v>7532.7999999999993</v>
      </c>
      <c r="G60" s="104">
        <v>0.05</v>
      </c>
      <c r="H60" s="98">
        <f t="shared" si="8"/>
        <v>7909.44</v>
      </c>
      <c r="I60" s="93" t="s">
        <v>21</v>
      </c>
      <c r="J60" s="99">
        <f t="shared" si="9"/>
        <v>0</v>
      </c>
      <c r="K60" s="105">
        <f t="shared" si="10"/>
        <v>0</v>
      </c>
      <c r="L60" s="101"/>
      <c r="M60" s="27"/>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row>
    <row r="61" spans="1:56" s="14" customFormat="1" x14ac:dyDescent="0.2">
      <c r="A61" s="92">
        <f>IF(F61&lt;&gt;"",1+MAX($A$6:A60),"")</f>
        <v>43</v>
      </c>
      <c r="B61" s="94" t="s">
        <v>23</v>
      </c>
      <c r="C61" s="94"/>
      <c r="D61" s="102"/>
      <c r="E61" s="106" t="s">
        <v>103</v>
      </c>
      <c r="F61" s="96">
        <f>47.3*48</f>
        <v>2270.3999999999996</v>
      </c>
      <c r="G61" s="104">
        <v>0.05</v>
      </c>
      <c r="H61" s="98">
        <f t="shared" si="8"/>
        <v>2383.9199999999996</v>
      </c>
      <c r="I61" s="93" t="s">
        <v>21</v>
      </c>
      <c r="J61" s="99">
        <f t="shared" si="9"/>
        <v>0</v>
      </c>
      <c r="K61" s="105">
        <f t="shared" si="10"/>
        <v>0</v>
      </c>
      <c r="L61" s="101"/>
      <c r="M61" s="27"/>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row>
    <row r="62" spans="1:56" s="14" customFormat="1" x14ac:dyDescent="0.2">
      <c r="A62" s="92">
        <f>IF(F62&lt;&gt;"",1+MAX($A$6:A61),"")</f>
        <v>44</v>
      </c>
      <c r="B62" s="94" t="s">
        <v>23</v>
      </c>
      <c r="C62" s="94"/>
      <c r="D62" s="102"/>
      <c r="E62" s="106" t="s">
        <v>104</v>
      </c>
      <c r="F62" s="96">
        <f>47.2*55</f>
        <v>2596</v>
      </c>
      <c r="G62" s="104">
        <v>0.05</v>
      </c>
      <c r="H62" s="98">
        <f t="shared" ref="H62:H68" si="11">F62*(1+G62)</f>
        <v>2725.8</v>
      </c>
      <c r="I62" s="93" t="s">
        <v>21</v>
      </c>
      <c r="J62" s="99">
        <f t="shared" si="9"/>
        <v>0</v>
      </c>
      <c r="K62" s="105">
        <f t="shared" ref="K62:K68" si="12">J62*H62</f>
        <v>0</v>
      </c>
      <c r="L62" s="101"/>
      <c r="M62" s="27"/>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row>
    <row r="63" spans="1:56" s="14" customFormat="1" x14ac:dyDescent="0.2">
      <c r="A63" s="92">
        <f>IF(F63&lt;&gt;"",1+MAX($A$6:A62),"")</f>
        <v>45</v>
      </c>
      <c r="B63" s="94" t="s">
        <v>23</v>
      </c>
      <c r="C63" s="94"/>
      <c r="D63" s="102"/>
      <c r="E63" s="106" t="s">
        <v>105</v>
      </c>
      <c r="F63" s="96">
        <f>198*68</f>
        <v>13464</v>
      </c>
      <c r="G63" s="104">
        <v>0.05</v>
      </c>
      <c r="H63" s="98">
        <f t="shared" si="11"/>
        <v>14137.2</v>
      </c>
      <c r="I63" s="93" t="s">
        <v>21</v>
      </c>
      <c r="J63" s="99">
        <f t="shared" si="9"/>
        <v>0</v>
      </c>
      <c r="K63" s="105">
        <f t="shared" si="12"/>
        <v>0</v>
      </c>
      <c r="L63" s="101"/>
      <c r="M63" s="27"/>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row>
    <row r="64" spans="1:56" s="14" customFormat="1" x14ac:dyDescent="0.2">
      <c r="A64" s="92">
        <f>IF(F64&lt;&gt;"",1+MAX($A$6:A63),"")</f>
        <v>46</v>
      </c>
      <c r="B64" s="94" t="s">
        <v>23</v>
      </c>
      <c r="C64" s="94"/>
      <c r="D64" s="102"/>
      <c r="E64" s="106" t="s">
        <v>86</v>
      </c>
      <c r="F64" s="96">
        <f>45.1*76</f>
        <v>3427.6</v>
      </c>
      <c r="G64" s="104">
        <v>0.05</v>
      </c>
      <c r="H64" s="98">
        <f t="shared" si="11"/>
        <v>3598.98</v>
      </c>
      <c r="I64" s="93" t="s">
        <v>21</v>
      </c>
      <c r="J64" s="99">
        <f t="shared" si="9"/>
        <v>0</v>
      </c>
      <c r="K64" s="105">
        <f t="shared" si="12"/>
        <v>0</v>
      </c>
      <c r="L64" s="101"/>
      <c r="M64" s="27"/>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row>
    <row r="65" spans="1:56" s="14" customFormat="1" x14ac:dyDescent="0.2">
      <c r="A65" s="92">
        <f>IF(F65&lt;&gt;"",1+MAX($A$6:A64),"")</f>
        <v>47</v>
      </c>
      <c r="B65" s="94" t="s">
        <v>23</v>
      </c>
      <c r="C65" s="94"/>
      <c r="D65" s="102"/>
      <c r="E65" s="106" t="s">
        <v>87</v>
      </c>
      <c r="F65" s="96">
        <f>44.4*84</f>
        <v>3729.6</v>
      </c>
      <c r="G65" s="104">
        <v>0.05</v>
      </c>
      <c r="H65" s="98">
        <f t="shared" si="11"/>
        <v>3916.08</v>
      </c>
      <c r="I65" s="93" t="s">
        <v>21</v>
      </c>
      <c r="J65" s="99">
        <f t="shared" si="9"/>
        <v>0</v>
      </c>
      <c r="K65" s="105">
        <f t="shared" si="12"/>
        <v>0</v>
      </c>
      <c r="L65" s="101"/>
      <c r="M65" s="27"/>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row>
    <row r="66" spans="1:56" s="14" customFormat="1" x14ac:dyDescent="0.2">
      <c r="A66" s="92">
        <f>IF(F66&lt;&gt;"",1+MAX($A$6:A65),"")</f>
        <v>48</v>
      </c>
      <c r="B66" s="94" t="s">
        <v>23</v>
      </c>
      <c r="C66" s="94"/>
      <c r="D66" s="102"/>
      <c r="E66" s="106" t="s">
        <v>114</v>
      </c>
      <c r="F66" s="96">
        <f>110.4*108</f>
        <v>11923.2</v>
      </c>
      <c r="G66" s="104">
        <v>0.05</v>
      </c>
      <c r="H66" s="98">
        <f t="shared" si="11"/>
        <v>12519.36</v>
      </c>
      <c r="I66" s="93" t="s">
        <v>21</v>
      </c>
      <c r="J66" s="99">
        <f t="shared" si="9"/>
        <v>0</v>
      </c>
      <c r="K66" s="105">
        <f t="shared" si="12"/>
        <v>0</v>
      </c>
      <c r="L66" s="101"/>
      <c r="M66" s="27"/>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row>
    <row r="67" spans="1:56" s="14" customFormat="1" x14ac:dyDescent="0.2">
      <c r="A67" s="92">
        <f>IF(F67&lt;&gt;"",1+MAX($A$6:A66),"")</f>
        <v>49</v>
      </c>
      <c r="B67" s="94" t="s">
        <v>23</v>
      </c>
      <c r="C67" s="94"/>
      <c r="D67" s="102"/>
      <c r="E67" s="106" t="s">
        <v>115</v>
      </c>
      <c r="F67" s="96">
        <f>47.5*132</f>
        <v>6270</v>
      </c>
      <c r="G67" s="104">
        <v>0.05</v>
      </c>
      <c r="H67" s="98">
        <f t="shared" si="11"/>
        <v>6583.5</v>
      </c>
      <c r="I67" s="93" t="s">
        <v>21</v>
      </c>
      <c r="J67" s="99">
        <f t="shared" si="9"/>
        <v>0</v>
      </c>
      <c r="K67" s="105">
        <f t="shared" si="12"/>
        <v>0</v>
      </c>
      <c r="L67" s="101"/>
      <c r="M67" s="27"/>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row>
    <row r="68" spans="1:56" s="14" customFormat="1" x14ac:dyDescent="0.2">
      <c r="A68" s="92">
        <f>IF(F68&lt;&gt;"",1+MAX($A$6:A67),"")</f>
        <v>50</v>
      </c>
      <c r="B68" s="94" t="s">
        <v>23</v>
      </c>
      <c r="C68" s="94"/>
      <c r="D68" s="102"/>
      <c r="E68" s="106" t="s">
        <v>116</v>
      </c>
      <c r="F68" s="96">
        <f>62.1*90</f>
        <v>5589</v>
      </c>
      <c r="G68" s="104">
        <v>0.05</v>
      </c>
      <c r="H68" s="98">
        <f t="shared" si="11"/>
        <v>5868.45</v>
      </c>
      <c r="I68" s="93" t="s">
        <v>21</v>
      </c>
      <c r="J68" s="99">
        <f t="shared" si="9"/>
        <v>0</v>
      </c>
      <c r="K68" s="105">
        <f t="shared" si="12"/>
        <v>0</v>
      </c>
      <c r="L68" s="101"/>
      <c r="M68" s="27"/>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row>
    <row r="69" spans="1:56" x14ac:dyDescent="0.2">
      <c r="A69" s="92" t="str">
        <f>IF(F69&lt;&gt;"",1+MAX($A$6:A68),"")</f>
        <v/>
      </c>
      <c r="B69" s="94"/>
      <c r="C69" s="94"/>
      <c r="D69" s="94"/>
      <c r="E69" s="106"/>
      <c r="F69" s="96"/>
      <c r="G69" s="104"/>
      <c r="H69" s="98"/>
      <c r="I69" s="93"/>
      <c r="J69" s="99"/>
      <c r="K69" s="105"/>
      <c r="L69" s="101"/>
    </row>
    <row r="70" spans="1:56" s="14" customFormat="1" x14ac:dyDescent="0.2">
      <c r="A70" s="92" t="str">
        <f>IF(F70&lt;&gt;"",1+MAX($A$6:A69),"")</f>
        <v/>
      </c>
      <c r="B70" s="94"/>
      <c r="C70" s="94"/>
      <c r="D70" s="102"/>
      <c r="E70" s="103" t="s">
        <v>106</v>
      </c>
      <c r="F70" s="96"/>
      <c r="G70" s="104"/>
      <c r="H70" s="98"/>
      <c r="I70" s="93"/>
      <c r="J70" s="99"/>
      <c r="K70" s="105"/>
      <c r="L70" s="101"/>
      <c r="M70" s="27"/>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28"/>
      <c r="AS70" s="28"/>
      <c r="AT70" s="28"/>
      <c r="AU70" s="28"/>
      <c r="AV70" s="28"/>
      <c r="AW70" s="28"/>
      <c r="AX70" s="28"/>
      <c r="AY70" s="28"/>
      <c r="AZ70" s="28"/>
      <c r="BA70" s="28"/>
      <c r="BB70" s="28"/>
      <c r="BC70" s="28"/>
      <c r="BD70" s="28"/>
    </row>
    <row r="71" spans="1:56" s="14" customFormat="1" x14ac:dyDescent="0.2">
      <c r="A71" s="92">
        <f>IF(F71&lt;&gt;"",1+MAX($A$6:A70),"")</f>
        <v>51</v>
      </c>
      <c r="B71" s="94" t="s">
        <v>23</v>
      </c>
      <c r="C71" s="94"/>
      <c r="D71" s="102"/>
      <c r="E71" s="106" t="s">
        <v>108</v>
      </c>
      <c r="F71" s="96">
        <f>18.6*2*20</f>
        <v>744</v>
      </c>
      <c r="G71" s="104">
        <v>0.05</v>
      </c>
      <c r="H71" s="98">
        <f>F71*(1+G71)</f>
        <v>781.2</v>
      </c>
      <c r="I71" s="93" t="s">
        <v>21</v>
      </c>
      <c r="J71" s="99">
        <f>J$10</f>
        <v>0</v>
      </c>
      <c r="K71" s="105">
        <f>J71*H71</f>
        <v>0</v>
      </c>
      <c r="L71" s="101"/>
      <c r="M71" s="27"/>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c r="AZ71" s="28"/>
      <c r="BA71" s="28"/>
      <c r="BB71" s="28"/>
      <c r="BC71" s="28"/>
      <c r="BD71" s="28"/>
    </row>
    <row r="72" spans="1:56" s="14" customFormat="1" x14ac:dyDescent="0.2">
      <c r="A72" s="92" t="str">
        <f>IF(F72&lt;&gt;"",1+MAX($A$6:A71),"")</f>
        <v/>
      </c>
      <c r="B72" s="94"/>
      <c r="C72" s="94"/>
      <c r="D72" s="102"/>
      <c r="E72" s="106"/>
      <c r="F72" s="96"/>
      <c r="G72" s="104"/>
      <c r="H72" s="98"/>
      <c r="I72" s="93"/>
      <c r="J72" s="99"/>
      <c r="K72" s="105"/>
      <c r="L72" s="101"/>
      <c r="M72" s="27"/>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row>
    <row r="73" spans="1:56" s="14" customFormat="1" x14ac:dyDescent="0.2">
      <c r="A73" s="92" t="str">
        <f>IF(F73&lt;&gt;"",1+MAX($A$6:A72),"")</f>
        <v/>
      </c>
      <c r="B73" s="94"/>
      <c r="C73" s="94"/>
      <c r="D73" s="102"/>
      <c r="E73" s="103" t="s">
        <v>36</v>
      </c>
      <c r="F73" s="96"/>
      <c r="G73" s="104"/>
      <c r="H73" s="98"/>
      <c r="I73" s="93"/>
      <c r="J73" s="99"/>
      <c r="K73" s="105"/>
      <c r="L73" s="101"/>
      <c r="M73" s="27"/>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row>
    <row r="74" spans="1:56" s="14" customFormat="1" x14ac:dyDescent="0.2">
      <c r="A74" s="92">
        <f>IF(F74&lt;&gt;"",1+MAX($A$6:A73),"")</f>
        <v>52</v>
      </c>
      <c r="B74" s="94" t="s">
        <v>23</v>
      </c>
      <c r="C74" s="94"/>
      <c r="D74" s="102"/>
      <c r="E74" s="106" t="s">
        <v>42</v>
      </c>
      <c r="F74" s="96">
        <f>33*4*0.5*6.6+40*4*0.5*6.6+297.1*6.6+102.5*6.6+(7*0.5*6.6)</f>
        <v>3624.06</v>
      </c>
      <c r="G74" s="104">
        <v>0.05</v>
      </c>
      <c r="H74" s="98">
        <f>F74*(1+G74)</f>
        <v>3805.2629999999999</v>
      </c>
      <c r="I74" s="93" t="s">
        <v>21</v>
      </c>
      <c r="J74" s="99">
        <f>J$10</f>
        <v>0</v>
      </c>
      <c r="K74" s="105">
        <f>J74*H74</f>
        <v>0</v>
      </c>
      <c r="L74" s="101"/>
      <c r="M74" s="27"/>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row>
    <row r="75" spans="1:56" s="14" customFormat="1" x14ac:dyDescent="0.2">
      <c r="A75" s="92">
        <f>IF(F75&lt;&gt;"",1+MAX($A$6:A74),"")</f>
        <v>53</v>
      </c>
      <c r="B75" s="94" t="s">
        <v>23</v>
      </c>
      <c r="C75" s="94"/>
      <c r="D75" s="102"/>
      <c r="E75" s="106" t="s">
        <v>109</v>
      </c>
      <c r="F75" s="96">
        <f>57.6*4.9</f>
        <v>282.24</v>
      </c>
      <c r="G75" s="104">
        <v>0.05</v>
      </c>
      <c r="H75" s="98">
        <f>F75*(1+G75)</f>
        <v>296.35200000000003</v>
      </c>
      <c r="I75" s="93" t="s">
        <v>21</v>
      </c>
      <c r="J75" s="99">
        <f>J$10</f>
        <v>0</v>
      </c>
      <c r="K75" s="105">
        <f>J75*H75</f>
        <v>0</v>
      </c>
      <c r="L75" s="101"/>
      <c r="M75" s="27"/>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row>
    <row r="76" spans="1:56" s="14" customFormat="1" x14ac:dyDescent="0.2">
      <c r="A76" s="92">
        <f>IF(F76&lt;&gt;"",1+MAX($A$6:A75),"")</f>
        <v>54</v>
      </c>
      <c r="B76" s="94" t="s">
        <v>23</v>
      </c>
      <c r="C76" s="94"/>
      <c r="D76" s="102"/>
      <c r="E76" s="106" t="s">
        <v>110</v>
      </c>
      <c r="F76" s="96">
        <f>25.1*8.2</f>
        <v>205.82</v>
      </c>
      <c r="G76" s="104">
        <v>0.05</v>
      </c>
      <c r="H76" s="98">
        <f>F76*(1+G76)</f>
        <v>216.11099999999999</v>
      </c>
      <c r="I76" s="93" t="s">
        <v>21</v>
      </c>
      <c r="J76" s="99">
        <f>J$10</f>
        <v>0</v>
      </c>
      <c r="K76" s="105">
        <f>J76*H76</f>
        <v>0</v>
      </c>
      <c r="L76" s="101"/>
      <c r="M76" s="27"/>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row>
    <row r="77" spans="1:56" s="14" customFormat="1" x14ac:dyDescent="0.2">
      <c r="A77" s="92">
        <f>IF(F77&lt;&gt;"",1+MAX($A$6:A76),"")</f>
        <v>55</v>
      </c>
      <c r="B77" s="94" t="s">
        <v>23</v>
      </c>
      <c r="C77" s="94"/>
      <c r="D77" s="102"/>
      <c r="E77" s="106" t="s">
        <v>111</v>
      </c>
      <c r="F77" s="96">
        <f>48.4*12.3</f>
        <v>595.32000000000005</v>
      </c>
      <c r="G77" s="104">
        <v>0.05</v>
      </c>
      <c r="H77" s="98">
        <f>F77*(1+G77)</f>
        <v>625.08600000000013</v>
      </c>
      <c r="I77" s="93" t="s">
        <v>21</v>
      </c>
      <c r="J77" s="99">
        <f>J$10</f>
        <v>0</v>
      </c>
      <c r="K77" s="105">
        <f>J77*H77</f>
        <v>0</v>
      </c>
      <c r="L77" s="101"/>
      <c r="M77" s="27"/>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row>
    <row r="78" spans="1:56" s="14" customFormat="1" x14ac:dyDescent="0.2">
      <c r="A78" s="92">
        <f>IF(F78&lt;&gt;"",1+MAX($A$6:A77),"")</f>
        <v>56</v>
      </c>
      <c r="B78" s="94" t="s">
        <v>23</v>
      </c>
      <c r="C78" s="94"/>
      <c r="D78" s="102"/>
      <c r="E78" s="106" t="s">
        <v>117</v>
      </c>
      <c r="F78" s="96">
        <f>13*0.334*2*4.7</f>
        <v>40.814800000000005</v>
      </c>
      <c r="G78" s="104">
        <v>0.05</v>
      </c>
      <c r="H78" s="98">
        <f>F78*(1+G78)</f>
        <v>42.855540000000005</v>
      </c>
      <c r="I78" s="93" t="s">
        <v>21</v>
      </c>
      <c r="J78" s="99">
        <f>J$10</f>
        <v>0</v>
      </c>
      <c r="K78" s="105">
        <f>J78*H78</f>
        <v>0</v>
      </c>
      <c r="L78" s="101"/>
      <c r="M78" s="27"/>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row>
    <row r="79" spans="1:56" s="14" customFormat="1" x14ac:dyDescent="0.2">
      <c r="A79" s="92" t="str">
        <f>IF(F79&lt;&gt;"",1+MAX($A$6:A78),"")</f>
        <v/>
      </c>
      <c r="B79" s="94"/>
      <c r="C79" s="94"/>
      <c r="D79" s="102"/>
      <c r="E79" s="103" t="s">
        <v>45</v>
      </c>
      <c r="F79" s="96"/>
      <c r="G79" s="104"/>
      <c r="H79" s="98"/>
      <c r="I79" s="93"/>
      <c r="J79" s="99"/>
      <c r="K79" s="105"/>
      <c r="L79" s="101"/>
      <c r="M79" s="27"/>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c r="AX79" s="28"/>
      <c r="AY79" s="28"/>
      <c r="AZ79" s="28"/>
      <c r="BA79" s="28"/>
      <c r="BB79" s="28"/>
      <c r="BC79" s="28"/>
      <c r="BD79" s="28"/>
    </row>
    <row r="80" spans="1:56" s="14" customFormat="1" x14ac:dyDescent="0.2">
      <c r="A80" s="92">
        <f>IF(F80&lt;&gt;"",1+MAX($A$6:A79),"")</f>
        <v>57</v>
      </c>
      <c r="B80" s="94" t="s">
        <v>23</v>
      </c>
      <c r="C80" s="94" t="s">
        <v>48</v>
      </c>
      <c r="D80" s="102"/>
      <c r="E80" s="106" t="s">
        <v>47</v>
      </c>
      <c r="F80" s="96">
        <f>1284.6+15804.2</f>
        <v>17088.8</v>
      </c>
      <c r="G80" s="104">
        <v>0.05</v>
      </c>
      <c r="H80" s="98">
        <f>F80*(1+G80)</f>
        <v>17943.240000000002</v>
      </c>
      <c r="I80" s="93" t="s">
        <v>46</v>
      </c>
      <c r="J80" s="99">
        <v>0</v>
      </c>
      <c r="K80" s="105">
        <f>J80*H80</f>
        <v>0</v>
      </c>
      <c r="L80" s="101"/>
      <c r="M80" s="27"/>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8"/>
    </row>
    <row r="81" spans="1:56" s="14" customFormat="1" x14ac:dyDescent="0.2">
      <c r="A81" s="92">
        <f>IF(F81&lt;&gt;"",1+MAX($A$6:A80),"")</f>
        <v>58</v>
      </c>
      <c r="B81" s="94" t="s">
        <v>23</v>
      </c>
      <c r="C81" s="94" t="s">
        <v>52</v>
      </c>
      <c r="D81" s="102"/>
      <c r="E81" s="106" t="s">
        <v>53</v>
      </c>
      <c r="F81" s="96">
        <v>1758</v>
      </c>
      <c r="G81" s="104">
        <v>0.05</v>
      </c>
      <c r="H81" s="98">
        <f>F81*(1+G81)</f>
        <v>1845.9</v>
      </c>
      <c r="I81" s="93" t="s">
        <v>46</v>
      </c>
      <c r="J81" s="99">
        <v>0</v>
      </c>
      <c r="K81" s="105">
        <f>J81*H81</f>
        <v>0</v>
      </c>
      <c r="L81" s="101"/>
      <c r="M81" s="27"/>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row>
    <row r="82" spans="1:56" x14ac:dyDescent="0.2">
      <c r="A82" s="92" t="str">
        <f>IF(F82&lt;&gt;"",1+MAX($A$6:A81),"")</f>
        <v/>
      </c>
      <c r="B82" s="94"/>
      <c r="C82" s="94"/>
      <c r="D82" s="94"/>
      <c r="E82" s="106"/>
      <c r="F82" s="96"/>
      <c r="G82" s="104"/>
      <c r="H82" s="98"/>
      <c r="I82" s="93"/>
      <c r="J82" s="99"/>
      <c r="K82" s="105"/>
      <c r="L82" s="101"/>
    </row>
    <row r="83" spans="1:56" x14ac:dyDescent="0.2">
      <c r="A83" s="92" t="str">
        <f>IF(F83&lt;&gt;"",1+MAX($A$6:A82),"")</f>
        <v/>
      </c>
      <c r="B83" s="93"/>
      <c r="C83" s="94"/>
      <c r="D83" s="94"/>
      <c r="E83" s="95" t="s">
        <v>60</v>
      </c>
      <c r="F83" s="96"/>
      <c r="G83" s="97"/>
      <c r="H83" s="98"/>
      <c r="I83" s="93"/>
      <c r="J83" s="99"/>
      <c r="K83" s="100"/>
      <c r="L83" s="101"/>
    </row>
    <row r="84" spans="1:56" s="14" customFormat="1" x14ac:dyDescent="0.2">
      <c r="A84" s="92" t="str">
        <f>IF(F84&lt;&gt;"",1+MAX($A$6:A83),"")</f>
        <v/>
      </c>
      <c r="B84" s="94"/>
      <c r="C84" s="94"/>
      <c r="D84" s="102"/>
      <c r="E84" s="103" t="s">
        <v>223</v>
      </c>
      <c r="F84" s="96"/>
      <c r="G84" s="104"/>
      <c r="H84" s="98"/>
      <c r="I84" s="93"/>
      <c r="J84" s="99"/>
      <c r="K84" s="105"/>
      <c r="L84" s="101"/>
      <c r="M84" s="27"/>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row>
    <row r="85" spans="1:56" s="14" customFormat="1" ht="47.25" x14ac:dyDescent="0.2">
      <c r="A85" s="92">
        <f>IF(F85&lt;&gt;"",1+MAX($A$6:A84),"")</f>
        <v>59</v>
      </c>
      <c r="B85" s="94" t="s">
        <v>23</v>
      </c>
      <c r="C85" s="94" t="s">
        <v>24</v>
      </c>
      <c r="D85" s="102"/>
      <c r="E85" s="106" t="s">
        <v>250</v>
      </c>
      <c r="F85" s="96">
        <f>(1*13+1*20.42)*27.48</f>
        <v>918.38160000000005</v>
      </c>
      <c r="G85" s="104">
        <v>0.05</v>
      </c>
      <c r="H85" s="98">
        <f t="shared" ref="H85:H94" si="13">F85*(1+G85)</f>
        <v>964.30068000000006</v>
      </c>
      <c r="I85" s="93" t="s">
        <v>21</v>
      </c>
      <c r="J85" s="99">
        <f t="shared" ref="J85:J94" si="14">J$10</f>
        <v>0</v>
      </c>
      <c r="K85" s="105">
        <f t="shared" ref="K85:K94" si="15">J85*H85</f>
        <v>0</v>
      </c>
      <c r="L85" s="101"/>
      <c r="M85" s="27"/>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row>
    <row r="86" spans="1:56" ht="47.25" x14ac:dyDescent="0.2">
      <c r="A86" s="92">
        <f>IF(F86&lt;&gt;"",1+MAX($A$6:A85),"")</f>
        <v>60</v>
      </c>
      <c r="B86" s="94" t="s">
        <v>23</v>
      </c>
      <c r="C86" s="94" t="s">
        <v>24</v>
      </c>
      <c r="D86" s="94"/>
      <c r="E86" s="106" t="s">
        <v>249</v>
      </c>
      <c r="F86" s="96">
        <f>(4*13)*50.81</f>
        <v>2642.12</v>
      </c>
      <c r="G86" s="104">
        <v>0.05</v>
      </c>
      <c r="H86" s="98">
        <f t="shared" si="13"/>
        <v>2774.2260000000001</v>
      </c>
      <c r="I86" s="93" t="s">
        <v>21</v>
      </c>
      <c r="J86" s="99">
        <f t="shared" si="14"/>
        <v>0</v>
      </c>
      <c r="K86" s="105">
        <f t="shared" si="15"/>
        <v>0</v>
      </c>
      <c r="L86" s="101"/>
    </row>
    <row r="87" spans="1:56" ht="47.25" x14ac:dyDescent="0.2">
      <c r="A87" s="92">
        <f>IF(F87&lt;&gt;"",1+MAX($A$6:A86),"")</f>
        <v>61</v>
      </c>
      <c r="B87" s="94" t="s">
        <v>23</v>
      </c>
      <c r="C87" s="94" t="s">
        <v>24</v>
      </c>
      <c r="D87" s="94"/>
      <c r="E87" s="106" t="s">
        <v>248</v>
      </c>
      <c r="F87" s="96">
        <f>(3*19)*76.07</f>
        <v>4335.99</v>
      </c>
      <c r="G87" s="104">
        <v>0.05</v>
      </c>
      <c r="H87" s="98">
        <f t="shared" si="13"/>
        <v>4552.7894999999999</v>
      </c>
      <c r="I87" s="93" t="s">
        <v>21</v>
      </c>
      <c r="J87" s="99">
        <f t="shared" si="14"/>
        <v>0</v>
      </c>
      <c r="K87" s="105">
        <f t="shared" si="15"/>
        <v>0</v>
      </c>
      <c r="L87" s="101"/>
    </row>
    <row r="88" spans="1:56" ht="47.25" x14ac:dyDescent="0.2">
      <c r="A88" s="92">
        <f>IF(F88&lt;&gt;"",1+MAX($A$6:A87),"")</f>
        <v>62</v>
      </c>
      <c r="B88" s="94" t="s">
        <v>23</v>
      </c>
      <c r="C88" s="94" t="s">
        <v>24</v>
      </c>
      <c r="D88" s="94"/>
      <c r="E88" s="106" t="s">
        <v>247</v>
      </c>
      <c r="F88" s="96">
        <f>(2*19*72)</f>
        <v>2736</v>
      </c>
      <c r="G88" s="104">
        <v>0.05</v>
      </c>
      <c r="H88" s="98">
        <f t="shared" si="13"/>
        <v>2872.8</v>
      </c>
      <c r="I88" s="93" t="s">
        <v>21</v>
      </c>
      <c r="J88" s="99">
        <f t="shared" si="14"/>
        <v>0</v>
      </c>
      <c r="K88" s="105">
        <f t="shared" si="15"/>
        <v>0</v>
      </c>
      <c r="L88" s="101"/>
    </row>
    <row r="89" spans="1:56" ht="47.25" x14ac:dyDescent="0.2">
      <c r="A89" s="92">
        <f>IF(F89&lt;&gt;"",1+MAX($A$6:A88),"")</f>
        <v>63</v>
      </c>
      <c r="B89" s="94" t="s">
        <v>23</v>
      </c>
      <c r="C89" s="94" t="s">
        <v>24</v>
      </c>
      <c r="D89" s="94"/>
      <c r="E89" s="106" t="s">
        <v>242</v>
      </c>
      <c r="F89" s="96">
        <f>2*19*62.46</f>
        <v>2373.48</v>
      </c>
      <c r="G89" s="104">
        <v>0.05</v>
      </c>
      <c r="H89" s="98">
        <f t="shared" si="13"/>
        <v>2492.154</v>
      </c>
      <c r="I89" s="93" t="s">
        <v>21</v>
      </c>
      <c r="J89" s="99">
        <f t="shared" si="14"/>
        <v>0</v>
      </c>
      <c r="K89" s="105">
        <f t="shared" si="15"/>
        <v>0</v>
      </c>
      <c r="L89" s="101"/>
    </row>
    <row r="90" spans="1:56" ht="47.25" x14ac:dyDescent="0.2">
      <c r="A90" s="92">
        <f>IF(F90&lt;&gt;"",1+MAX($A$6:A89),"")</f>
        <v>64</v>
      </c>
      <c r="B90" s="94" t="s">
        <v>23</v>
      </c>
      <c r="C90" s="94" t="s">
        <v>24</v>
      </c>
      <c r="D90" s="94"/>
      <c r="E90" s="106" t="s">
        <v>243</v>
      </c>
      <c r="F90" s="96">
        <f>1*20.42*25.82</f>
        <v>527.24440000000004</v>
      </c>
      <c r="G90" s="104">
        <v>0.05</v>
      </c>
      <c r="H90" s="98">
        <f t="shared" si="13"/>
        <v>553.60662000000002</v>
      </c>
      <c r="I90" s="93" t="s">
        <v>21</v>
      </c>
      <c r="J90" s="99">
        <f t="shared" si="14"/>
        <v>0</v>
      </c>
      <c r="K90" s="105">
        <f t="shared" si="15"/>
        <v>0</v>
      </c>
      <c r="L90" s="101"/>
    </row>
    <row r="91" spans="1:56" ht="47.25" x14ac:dyDescent="0.2">
      <c r="A91" s="92">
        <f>IF(F91&lt;&gt;"",1+MAX($A$6:A90),"")</f>
        <v>65</v>
      </c>
      <c r="B91" s="94" t="s">
        <v>23</v>
      </c>
      <c r="C91" s="94" t="s">
        <v>24</v>
      </c>
      <c r="D91" s="94"/>
      <c r="E91" s="106" t="s">
        <v>244</v>
      </c>
      <c r="F91" s="96">
        <f>2*20.42*39.43</f>
        <v>1610.3212000000001</v>
      </c>
      <c r="G91" s="104">
        <v>0.05</v>
      </c>
      <c r="H91" s="98">
        <f t="shared" si="13"/>
        <v>1690.8372600000002</v>
      </c>
      <c r="I91" s="93" t="s">
        <v>21</v>
      </c>
      <c r="J91" s="99">
        <f t="shared" si="14"/>
        <v>0</v>
      </c>
      <c r="K91" s="105">
        <f t="shared" si="15"/>
        <v>0</v>
      </c>
      <c r="L91" s="101"/>
    </row>
    <row r="92" spans="1:56" ht="47.25" x14ac:dyDescent="0.2">
      <c r="A92" s="92">
        <f>IF(F92&lt;&gt;"",1+MAX($A$6:A91),"")</f>
        <v>66</v>
      </c>
      <c r="B92" s="94" t="s">
        <v>23</v>
      </c>
      <c r="C92" s="94" t="s">
        <v>24</v>
      </c>
      <c r="D92" s="94"/>
      <c r="E92" s="106" t="s">
        <v>245</v>
      </c>
      <c r="F92" s="96">
        <f>1*13*27.48</f>
        <v>357.24</v>
      </c>
      <c r="G92" s="104">
        <v>0.05</v>
      </c>
      <c r="H92" s="98">
        <f t="shared" si="13"/>
        <v>375.10200000000003</v>
      </c>
      <c r="I92" s="93" t="s">
        <v>21</v>
      </c>
      <c r="J92" s="99">
        <f t="shared" si="14"/>
        <v>0</v>
      </c>
      <c r="K92" s="105">
        <f t="shared" si="15"/>
        <v>0</v>
      </c>
      <c r="L92" s="101"/>
    </row>
    <row r="93" spans="1:56" ht="47.25" x14ac:dyDescent="0.2">
      <c r="A93" s="92">
        <f>IF(F93&lt;&gt;"",1+MAX($A$6:A92),"")</f>
        <v>67</v>
      </c>
      <c r="B93" s="94" t="s">
        <v>23</v>
      </c>
      <c r="C93" s="94" t="s">
        <v>24</v>
      </c>
      <c r="D93" s="94"/>
      <c r="E93" s="106" t="s">
        <v>246</v>
      </c>
      <c r="F93" s="96">
        <f>4*18*37.69</f>
        <v>2713.68</v>
      </c>
      <c r="G93" s="104">
        <v>0.05</v>
      </c>
      <c r="H93" s="98">
        <f t="shared" si="13"/>
        <v>2849.364</v>
      </c>
      <c r="I93" s="93" t="s">
        <v>21</v>
      </c>
      <c r="J93" s="99">
        <f t="shared" si="14"/>
        <v>0</v>
      </c>
      <c r="K93" s="105">
        <f t="shared" si="15"/>
        <v>0</v>
      </c>
      <c r="L93" s="101"/>
    </row>
    <row r="94" spans="1:56" ht="47.25" x14ac:dyDescent="0.2">
      <c r="A94" s="92">
        <f>IF(F94&lt;&gt;"",1+MAX($A$6:A93),"")</f>
        <v>68</v>
      </c>
      <c r="B94" s="94" t="s">
        <v>23</v>
      </c>
      <c r="C94" s="94" t="s">
        <v>24</v>
      </c>
      <c r="D94" s="94"/>
      <c r="E94" s="106" t="s">
        <v>237</v>
      </c>
      <c r="F94" s="96">
        <f>23*9.5*27.48</f>
        <v>6004.38</v>
      </c>
      <c r="G94" s="104">
        <v>0.05</v>
      </c>
      <c r="H94" s="98">
        <f t="shared" si="13"/>
        <v>6304.5990000000002</v>
      </c>
      <c r="I94" s="93" t="s">
        <v>21</v>
      </c>
      <c r="J94" s="99">
        <f t="shared" si="14"/>
        <v>0</v>
      </c>
      <c r="K94" s="105">
        <f t="shared" si="15"/>
        <v>0</v>
      </c>
      <c r="L94" s="101"/>
    </row>
    <row r="95" spans="1:56" x14ac:dyDescent="0.2">
      <c r="A95" s="92" t="str">
        <f>IF(F95&lt;&gt;"",1+MAX($A$6:A94),"")</f>
        <v/>
      </c>
      <c r="B95" s="94"/>
      <c r="C95" s="94"/>
      <c r="D95" s="94"/>
      <c r="E95" s="106"/>
      <c r="F95" s="96"/>
      <c r="G95" s="104"/>
      <c r="H95" s="98"/>
      <c r="I95" s="93"/>
      <c r="J95" s="99"/>
      <c r="K95" s="105"/>
      <c r="L95" s="101"/>
    </row>
    <row r="96" spans="1:56" s="14" customFormat="1" x14ac:dyDescent="0.2">
      <c r="A96" s="92" t="str">
        <f>IF(F96&lt;&gt;"",1+MAX($A$6:A95),"")</f>
        <v/>
      </c>
      <c r="B96" s="94"/>
      <c r="C96" s="94"/>
      <c r="D96" s="102"/>
      <c r="E96" s="103" t="s">
        <v>38</v>
      </c>
      <c r="F96" s="96"/>
      <c r="G96" s="104"/>
      <c r="H96" s="98"/>
      <c r="I96" s="93"/>
      <c r="J96" s="99"/>
      <c r="K96" s="105"/>
      <c r="L96" s="101"/>
      <c r="M96" s="27"/>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c r="AZ96" s="28"/>
      <c r="BA96" s="28"/>
      <c r="BB96" s="28"/>
      <c r="BC96" s="28"/>
      <c r="BD96" s="28"/>
    </row>
    <row r="97" spans="1:56" s="14" customFormat="1" x14ac:dyDescent="0.2">
      <c r="A97" s="92">
        <f>IF(F97&lt;&gt;"",1+MAX($A$6:A96),"")</f>
        <v>69</v>
      </c>
      <c r="B97" s="94" t="s">
        <v>23</v>
      </c>
      <c r="C97" s="94"/>
      <c r="D97" s="102"/>
      <c r="E97" s="106" t="s">
        <v>39</v>
      </c>
      <c r="F97" s="96">
        <f>9+11+17+16</f>
        <v>53</v>
      </c>
      <c r="G97" s="104">
        <v>0</v>
      </c>
      <c r="H97" s="98">
        <f t="shared" ref="H97:H107" si="16">F97*(1+G97)</f>
        <v>53</v>
      </c>
      <c r="I97" s="93" t="s">
        <v>17</v>
      </c>
      <c r="J97" s="99">
        <f>J$38</f>
        <v>0</v>
      </c>
      <c r="K97" s="105">
        <f t="shared" ref="K97:K107" si="17">J97*H97</f>
        <v>0</v>
      </c>
      <c r="L97" s="101"/>
      <c r="M97" s="27"/>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c r="AP97" s="28"/>
      <c r="AQ97" s="28"/>
      <c r="AR97" s="28"/>
      <c r="AS97" s="28"/>
      <c r="AT97" s="28"/>
      <c r="AU97" s="28"/>
      <c r="AV97" s="28"/>
      <c r="AW97" s="28"/>
      <c r="AX97" s="28"/>
      <c r="AY97" s="28"/>
      <c r="AZ97" s="28"/>
      <c r="BA97" s="28"/>
      <c r="BB97" s="28"/>
      <c r="BC97" s="28"/>
      <c r="BD97" s="28"/>
    </row>
    <row r="98" spans="1:56" s="14" customFormat="1" x14ac:dyDescent="0.2">
      <c r="A98" s="92">
        <f>IF(F98&lt;&gt;"",1+MAX($A$6:A97),"")</f>
        <v>70</v>
      </c>
      <c r="B98" s="94" t="s">
        <v>23</v>
      </c>
      <c r="C98" s="94"/>
      <c r="D98" s="102"/>
      <c r="E98" s="106" t="s">
        <v>43</v>
      </c>
      <c r="F98" s="96">
        <v>23</v>
      </c>
      <c r="G98" s="104">
        <v>0</v>
      </c>
      <c r="H98" s="98">
        <f t="shared" si="16"/>
        <v>23</v>
      </c>
      <c r="I98" s="93" t="s">
        <v>17</v>
      </c>
      <c r="J98" s="99">
        <f>J$39</f>
        <v>0</v>
      </c>
      <c r="K98" s="105">
        <f t="shared" si="17"/>
        <v>0</v>
      </c>
      <c r="L98" s="101"/>
      <c r="M98" s="27"/>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c r="AP98" s="28"/>
      <c r="AQ98" s="28"/>
      <c r="AR98" s="28"/>
      <c r="AS98" s="28"/>
      <c r="AT98" s="28"/>
      <c r="AU98" s="28"/>
      <c r="AV98" s="28"/>
      <c r="AW98" s="28"/>
      <c r="AX98" s="28"/>
      <c r="AY98" s="28"/>
      <c r="AZ98" s="28"/>
      <c r="BA98" s="28"/>
      <c r="BB98" s="28"/>
      <c r="BC98" s="28"/>
      <c r="BD98" s="28"/>
    </row>
    <row r="99" spans="1:56" s="14" customFormat="1" x14ac:dyDescent="0.2">
      <c r="A99" s="92">
        <f>IF(F99&lt;&gt;"",1+MAX($A$6:A98),"")</f>
        <v>71</v>
      </c>
      <c r="B99" s="94" t="s">
        <v>23</v>
      </c>
      <c r="C99" s="94"/>
      <c r="D99" s="102"/>
      <c r="E99" s="106" t="s">
        <v>57</v>
      </c>
      <c r="F99" s="96">
        <f>(692.5+58.1)/4+1</f>
        <v>188.65</v>
      </c>
      <c r="G99" s="104">
        <v>0</v>
      </c>
      <c r="H99" s="98">
        <f t="shared" si="16"/>
        <v>188.65</v>
      </c>
      <c r="I99" s="93" t="s">
        <v>17</v>
      </c>
      <c r="J99" s="99">
        <v>0</v>
      </c>
      <c r="K99" s="105">
        <f t="shared" si="17"/>
        <v>0</v>
      </c>
      <c r="L99" s="101"/>
      <c r="M99" s="27"/>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c r="AP99" s="28"/>
      <c r="AQ99" s="28"/>
      <c r="AR99" s="28"/>
      <c r="AS99" s="28"/>
      <c r="AT99" s="28"/>
      <c r="AU99" s="28"/>
      <c r="AV99" s="28"/>
      <c r="AW99" s="28"/>
      <c r="AX99" s="28"/>
      <c r="AY99" s="28"/>
      <c r="AZ99" s="28"/>
      <c r="BA99" s="28"/>
      <c r="BB99" s="28"/>
      <c r="BC99" s="28"/>
      <c r="BD99" s="28"/>
    </row>
    <row r="100" spans="1:56" s="14" customFormat="1" x14ac:dyDescent="0.2">
      <c r="A100" s="92">
        <f>IF(F100&lt;&gt;"",1+MAX($A$6:A99),"")</f>
        <v>72</v>
      </c>
      <c r="B100" s="94" t="s">
        <v>23</v>
      </c>
      <c r="C100" s="94"/>
      <c r="D100" s="102"/>
      <c r="E100" s="106" t="s">
        <v>50</v>
      </c>
      <c r="F100" s="96">
        <f>((503)/4+1)+27</f>
        <v>153.75</v>
      </c>
      <c r="G100" s="104">
        <v>0</v>
      </c>
      <c r="H100" s="98">
        <f>F100*(1+G100)</f>
        <v>153.75</v>
      </c>
      <c r="I100" s="93" t="s">
        <v>17</v>
      </c>
      <c r="J100" s="99">
        <f>J$40</f>
        <v>0</v>
      </c>
      <c r="K100" s="105">
        <f>J100*H100</f>
        <v>0</v>
      </c>
      <c r="L100" s="101"/>
      <c r="M100" s="27"/>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c r="AP100" s="28"/>
      <c r="AQ100" s="28"/>
      <c r="AR100" s="28"/>
      <c r="AS100" s="28"/>
      <c r="AT100" s="28"/>
      <c r="AU100" s="28"/>
      <c r="AV100" s="28"/>
      <c r="AW100" s="28"/>
      <c r="AX100" s="28"/>
      <c r="AY100" s="28"/>
      <c r="AZ100" s="28"/>
      <c r="BA100" s="28"/>
      <c r="BB100" s="28"/>
      <c r="BC100" s="28"/>
      <c r="BD100" s="28"/>
    </row>
    <row r="101" spans="1:56" s="14" customFormat="1" x14ac:dyDescent="0.2">
      <c r="A101" s="92">
        <f>IF(F101&lt;&gt;"",1+MAX($A$6:A100),"")</f>
        <v>73</v>
      </c>
      <c r="B101" s="94" t="s">
        <v>23</v>
      </c>
      <c r="C101" s="94"/>
      <c r="D101" s="102"/>
      <c r="E101" s="106" t="s">
        <v>94</v>
      </c>
      <c r="F101" s="96">
        <f>(1030*2+427.2*2+3415.9*2)/4+1</f>
        <v>2437.5500000000002</v>
      </c>
      <c r="G101" s="104">
        <v>0</v>
      </c>
      <c r="H101" s="98">
        <f t="shared" si="16"/>
        <v>2437.5500000000002</v>
      </c>
      <c r="I101" s="93" t="s">
        <v>17</v>
      </c>
      <c r="J101" s="99">
        <f>J$43</f>
        <v>0</v>
      </c>
      <c r="K101" s="105">
        <f t="shared" si="17"/>
        <v>0</v>
      </c>
      <c r="L101" s="101"/>
      <c r="M101" s="27"/>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c r="AZ101" s="28"/>
      <c r="BA101" s="28"/>
      <c r="BB101" s="28"/>
      <c r="BC101" s="28"/>
      <c r="BD101" s="28"/>
    </row>
    <row r="102" spans="1:56" s="14" customFormat="1" x14ac:dyDescent="0.2">
      <c r="A102" s="92">
        <f>IF(F102&lt;&gt;"",1+MAX($A$6:A101),"")</f>
        <v>74</v>
      </c>
      <c r="B102" s="94" t="s">
        <v>23</v>
      </c>
      <c r="C102" s="94"/>
      <c r="D102" s="102"/>
      <c r="E102" s="106" t="s">
        <v>51</v>
      </c>
      <c r="F102" s="96">
        <f>140.7+101.8</f>
        <v>242.5</v>
      </c>
      <c r="G102" s="104">
        <v>0.05</v>
      </c>
      <c r="H102" s="98">
        <f t="shared" si="16"/>
        <v>254.625</v>
      </c>
      <c r="I102" s="93" t="s">
        <v>44</v>
      </c>
      <c r="J102" s="99">
        <f>J$42</f>
        <v>0</v>
      </c>
      <c r="K102" s="105">
        <f t="shared" si="17"/>
        <v>0</v>
      </c>
      <c r="L102" s="101"/>
      <c r="M102" s="27"/>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28"/>
      <c r="AS102" s="28"/>
      <c r="AT102" s="28"/>
      <c r="AU102" s="28"/>
      <c r="AV102" s="28"/>
      <c r="AW102" s="28"/>
      <c r="AX102" s="28"/>
      <c r="AY102" s="28"/>
      <c r="AZ102" s="28"/>
      <c r="BA102" s="28"/>
      <c r="BB102" s="28"/>
      <c r="BC102" s="28"/>
      <c r="BD102" s="28"/>
    </row>
    <row r="103" spans="1:56" s="14" customFormat="1" x14ac:dyDescent="0.2">
      <c r="A103" s="92">
        <f>IF(F103&lt;&gt;"",1+MAX($A$6:A102),"")</f>
        <v>75</v>
      </c>
      <c r="B103" s="94" t="s">
        <v>23</v>
      </c>
      <c r="C103" s="94"/>
      <c r="D103" s="102"/>
      <c r="E103" s="106" t="s">
        <v>56</v>
      </c>
      <c r="F103" s="96">
        <f>692.5+58.1</f>
        <v>750.6</v>
      </c>
      <c r="G103" s="104">
        <v>0.05</v>
      </c>
      <c r="H103" s="98">
        <f t="shared" si="16"/>
        <v>788.13000000000011</v>
      </c>
      <c r="I103" s="93" t="s">
        <v>44</v>
      </c>
      <c r="J103" s="99">
        <v>0</v>
      </c>
      <c r="K103" s="105">
        <f t="shared" si="17"/>
        <v>0</v>
      </c>
      <c r="L103" s="101"/>
      <c r="M103" s="27"/>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row>
    <row r="104" spans="1:56" s="14" customFormat="1" x14ac:dyDescent="0.2">
      <c r="A104" s="92">
        <f>IF(F104&lt;&gt;"",1+MAX($A$6:A103),"")</f>
        <v>76</v>
      </c>
      <c r="B104" s="94" t="s">
        <v>23</v>
      </c>
      <c r="C104" s="94"/>
      <c r="D104" s="102"/>
      <c r="E104" s="106" t="s">
        <v>62</v>
      </c>
      <c r="F104" s="96">
        <v>628.29999999999995</v>
      </c>
      <c r="G104" s="104">
        <v>0.05</v>
      </c>
      <c r="H104" s="98">
        <f t="shared" si="16"/>
        <v>659.71500000000003</v>
      </c>
      <c r="I104" s="93" t="s">
        <v>44</v>
      </c>
      <c r="J104" s="99">
        <v>0</v>
      </c>
      <c r="K104" s="105">
        <f t="shared" si="17"/>
        <v>0</v>
      </c>
      <c r="L104" s="101"/>
      <c r="M104" s="27"/>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28"/>
      <c r="AS104" s="28"/>
      <c r="AT104" s="28"/>
      <c r="AU104" s="28"/>
      <c r="AV104" s="28"/>
      <c r="AW104" s="28"/>
      <c r="AX104" s="28"/>
      <c r="AY104" s="28"/>
      <c r="AZ104" s="28"/>
      <c r="BA104" s="28"/>
      <c r="BB104" s="28"/>
      <c r="BC104" s="28"/>
      <c r="BD104" s="28"/>
    </row>
    <row r="105" spans="1:56" s="14" customFormat="1" x14ac:dyDescent="0.2">
      <c r="A105" s="92">
        <f>IF(F105&lt;&gt;"",1+MAX($A$6:A104),"")</f>
        <v>77</v>
      </c>
      <c r="B105" s="94" t="s">
        <v>23</v>
      </c>
      <c r="C105" s="94"/>
      <c r="D105" s="102"/>
      <c r="E105" s="106" t="s">
        <v>63</v>
      </c>
      <c r="F105" s="96">
        <f>628.3+384.4</f>
        <v>1012.6999999999999</v>
      </c>
      <c r="G105" s="104">
        <v>0.05</v>
      </c>
      <c r="H105" s="98">
        <f t="shared" si="16"/>
        <v>1063.335</v>
      </c>
      <c r="I105" s="93" t="s">
        <v>44</v>
      </c>
      <c r="J105" s="99">
        <f>J$41</f>
        <v>0</v>
      </c>
      <c r="K105" s="105">
        <f t="shared" si="17"/>
        <v>0</v>
      </c>
      <c r="L105" s="101"/>
      <c r="M105" s="27"/>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c r="AZ105" s="28"/>
      <c r="BA105" s="28"/>
      <c r="BB105" s="28"/>
      <c r="BC105" s="28"/>
      <c r="BD105" s="28"/>
    </row>
    <row r="106" spans="1:56" s="14" customFormat="1" x14ac:dyDescent="0.2">
      <c r="A106" s="92">
        <f>IF(F106&lt;&gt;"",1+MAX($A$6:A105),"")</f>
        <v>78</v>
      </c>
      <c r="B106" s="94" t="s">
        <v>23</v>
      </c>
      <c r="C106" s="94" t="s">
        <v>93</v>
      </c>
      <c r="D106" s="102"/>
      <c r="E106" s="106" t="s">
        <v>63</v>
      </c>
      <c r="F106" s="96">
        <f>(399.1*2+1674.7)</f>
        <v>2472.9</v>
      </c>
      <c r="G106" s="104">
        <v>0.05</v>
      </c>
      <c r="H106" s="98">
        <f t="shared" si="16"/>
        <v>2596.5450000000001</v>
      </c>
      <c r="I106" s="93" t="s">
        <v>44</v>
      </c>
      <c r="J106" s="99">
        <f>J$41</f>
        <v>0</v>
      </c>
      <c r="K106" s="105">
        <f t="shared" si="17"/>
        <v>0</v>
      </c>
      <c r="L106" s="101"/>
      <c r="M106" s="27"/>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c r="AZ106" s="28"/>
      <c r="BA106" s="28"/>
      <c r="BB106" s="28"/>
      <c r="BC106" s="28"/>
      <c r="BD106" s="28"/>
    </row>
    <row r="107" spans="1:56" s="14" customFormat="1" x14ac:dyDescent="0.2">
      <c r="A107" s="92">
        <f>IF(F107&lt;&gt;"",1+MAX($A$6:A106),"")</f>
        <v>79</v>
      </c>
      <c r="B107" s="94" t="s">
        <v>23</v>
      </c>
      <c r="C107" s="94" t="s">
        <v>93</v>
      </c>
      <c r="D107" s="102"/>
      <c r="E107" s="106" t="s">
        <v>92</v>
      </c>
      <c r="F107" s="96">
        <f>(399.1+478*2)*0.334</f>
        <v>452.60340000000002</v>
      </c>
      <c r="G107" s="104">
        <v>0.05</v>
      </c>
      <c r="H107" s="98">
        <f t="shared" si="16"/>
        <v>475.23357000000004</v>
      </c>
      <c r="I107" s="93" t="s">
        <v>44</v>
      </c>
      <c r="J107" s="99">
        <f>J$41</f>
        <v>0</v>
      </c>
      <c r="K107" s="105">
        <f t="shared" si="17"/>
        <v>0</v>
      </c>
      <c r="L107" s="101"/>
      <c r="M107" s="27"/>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c r="AZ107" s="28"/>
      <c r="BA107" s="28"/>
      <c r="BB107" s="28"/>
      <c r="BC107" s="28"/>
      <c r="BD107" s="28"/>
    </row>
    <row r="108" spans="1:56" s="14" customFormat="1" x14ac:dyDescent="0.2">
      <c r="A108" s="92" t="str">
        <f>IF(F108&lt;&gt;"",1+MAX($A$6:A107),"")</f>
        <v/>
      </c>
      <c r="B108" s="94"/>
      <c r="C108" s="94"/>
      <c r="D108" s="102"/>
      <c r="E108" s="106"/>
      <c r="F108" s="96"/>
      <c r="G108" s="104"/>
      <c r="H108" s="98"/>
      <c r="I108" s="93"/>
      <c r="J108" s="99"/>
      <c r="K108" s="105"/>
      <c r="L108" s="101"/>
      <c r="M108" s="27"/>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8"/>
    </row>
    <row r="109" spans="1:56" x14ac:dyDescent="0.2">
      <c r="A109" s="92" t="str">
        <f>IF(F109&lt;&gt;"",1+MAX($A$6:A108),"")</f>
        <v/>
      </c>
      <c r="B109" s="94"/>
      <c r="C109" s="94"/>
      <c r="D109" s="94"/>
      <c r="E109" s="106"/>
      <c r="F109" s="96"/>
      <c r="G109" s="104"/>
      <c r="H109" s="98"/>
      <c r="I109" s="93"/>
      <c r="J109" s="99"/>
      <c r="K109" s="105"/>
      <c r="L109" s="101"/>
    </row>
    <row r="110" spans="1:56" s="14" customFormat="1" x14ac:dyDescent="0.2">
      <c r="A110" s="92" t="str">
        <f>IF(F110&lt;&gt;"",1+MAX($A$6:A109),"")</f>
        <v/>
      </c>
      <c r="B110" s="94"/>
      <c r="C110" s="94"/>
      <c r="D110" s="102"/>
      <c r="E110" s="103" t="s">
        <v>36</v>
      </c>
      <c r="F110" s="96"/>
      <c r="G110" s="104"/>
      <c r="H110" s="98"/>
      <c r="I110" s="93"/>
      <c r="J110" s="99"/>
      <c r="K110" s="105"/>
      <c r="L110" s="101"/>
      <c r="M110" s="27"/>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c r="BB110" s="28"/>
      <c r="BC110" s="28"/>
      <c r="BD110" s="28"/>
    </row>
    <row r="111" spans="1:56" s="14" customFormat="1" x14ac:dyDescent="0.2">
      <c r="A111" s="92">
        <f>IF(F111&lt;&gt;"",1+MAX($A$6:A110),"")</f>
        <v>80</v>
      </c>
      <c r="B111" s="94" t="s">
        <v>23</v>
      </c>
      <c r="C111" s="94"/>
      <c r="D111" s="102"/>
      <c r="E111" s="106" t="s">
        <v>40</v>
      </c>
      <c r="F111" s="96">
        <f>(6*2+1*6)*9.8</f>
        <v>176.4</v>
      </c>
      <c r="G111" s="104">
        <v>0.05</v>
      </c>
      <c r="H111" s="98">
        <f t="shared" ref="H111:H118" si="18">F111*(1+G111)</f>
        <v>185.22000000000003</v>
      </c>
      <c r="I111" s="93" t="s">
        <v>21</v>
      </c>
      <c r="J111" s="99">
        <f t="shared" ref="J111:J118" si="19">J$10</f>
        <v>0</v>
      </c>
      <c r="K111" s="105">
        <f t="shared" ref="K111:K118" si="20">J111*H111</f>
        <v>0</v>
      </c>
      <c r="L111" s="101"/>
      <c r="M111" s="27"/>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c r="BB111" s="28"/>
      <c r="BC111" s="28"/>
      <c r="BD111" s="28"/>
    </row>
    <row r="112" spans="1:56" s="14" customFormat="1" x14ac:dyDescent="0.2">
      <c r="A112" s="92">
        <f>IF(F112&lt;&gt;"",1+MAX($A$6:A111),"")</f>
        <v>81</v>
      </c>
      <c r="B112" s="94" t="s">
        <v>23</v>
      </c>
      <c r="C112" s="94"/>
      <c r="D112" s="102"/>
      <c r="E112" s="106" t="s">
        <v>41</v>
      </c>
      <c r="F112" s="96">
        <f>16*4*0.5*28.7</f>
        <v>918.4</v>
      </c>
      <c r="G112" s="104">
        <v>0.05</v>
      </c>
      <c r="H112" s="98">
        <f t="shared" si="18"/>
        <v>964.32</v>
      </c>
      <c r="I112" s="93" t="s">
        <v>21</v>
      </c>
      <c r="J112" s="99">
        <f t="shared" si="19"/>
        <v>0</v>
      </c>
      <c r="K112" s="105">
        <f t="shared" si="20"/>
        <v>0</v>
      </c>
      <c r="L112" s="101"/>
      <c r="M112" s="27"/>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c r="BB112" s="28"/>
      <c r="BC112" s="28"/>
      <c r="BD112" s="28"/>
    </row>
    <row r="113" spans="1:56" s="14" customFormat="1" x14ac:dyDescent="0.2">
      <c r="A113" s="92">
        <f>IF(F113&lt;&gt;"",1+MAX($A$6:A112),"")</f>
        <v>82</v>
      </c>
      <c r="B113" s="94" t="s">
        <v>23</v>
      </c>
      <c r="C113" s="94"/>
      <c r="D113" s="102"/>
      <c r="E113" s="106" t="s">
        <v>42</v>
      </c>
      <c r="F113" s="96">
        <f>13*4*0.5*6.6</f>
        <v>171.6</v>
      </c>
      <c r="G113" s="104">
        <v>0.05</v>
      </c>
      <c r="H113" s="98">
        <f t="shared" si="18"/>
        <v>180.18</v>
      </c>
      <c r="I113" s="93" t="s">
        <v>21</v>
      </c>
      <c r="J113" s="99">
        <f t="shared" si="19"/>
        <v>0</v>
      </c>
      <c r="K113" s="105">
        <f t="shared" si="20"/>
        <v>0</v>
      </c>
      <c r="L113" s="101"/>
      <c r="M113" s="27"/>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8"/>
    </row>
    <row r="114" spans="1:56" s="14" customFormat="1" x14ac:dyDescent="0.2">
      <c r="A114" s="92">
        <f>IF(F114&lt;&gt;"",1+MAX($A$6:A113),"")</f>
        <v>83</v>
      </c>
      <c r="B114" s="94" t="s">
        <v>23</v>
      </c>
      <c r="C114" s="94"/>
      <c r="D114" s="102"/>
      <c r="E114" s="106" t="s">
        <v>59</v>
      </c>
      <c r="F114" s="96">
        <f>427.2*2*5.8</f>
        <v>4955.5199999999995</v>
      </c>
      <c r="G114" s="104">
        <v>0.05</v>
      </c>
      <c r="H114" s="98">
        <f t="shared" si="18"/>
        <v>5203.2959999999994</v>
      </c>
      <c r="I114" s="93" t="s">
        <v>21</v>
      </c>
      <c r="J114" s="99">
        <f t="shared" si="19"/>
        <v>0</v>
      </c>
      <c r="K114" s="105">
        <f t="shared" si="20"/>
        <v>0</v>
      </c>
      <c r="L114" s="101"/>
      <c r="M114" s="27"/>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row>
    <row r="115" spans="1:56" s="14" customFormat="1" x14ac:dyDescent="0.2">
      <c r="A115" s="92">
        <f>IF(F115&lt;&gt;"",1+MAX($A$6:A114),"")</f>
        <v>84</v>
      </c>
      <c r="B115" s="94" t="s">
        <v>23</v>
      </c>
      <c r="C115" s="94"/>
      <c r="D115" s="102"/>
      <c r="E115" s="106" t="s">
        <v>42</v>
      </c>
      <c r="F115" s="96">
        <f>(4*10+8*7+1*10+1*10+4*3)*6.6</f>
        <v>844.8</v>
      </c>
      <c r="G115" s="104">
        <v>0.05</v>
      </c>
      <c r="H115" s="98">
        <f t="shared" si="18"/>
        <v>887.04</v>
      </c>
      <c r="I115" s="93" t="s">
        <v>21</v>
      </c>
      <c r="J115" s="99">
        <f t="shared" si="19"/>
        <v>0</v>
      </c>
      <c r="K115" s="105">
        <f t="shared" si="20"/>
        <v>0</v>
      </c>
      <c r="L115" s="101"/>
      <c r="M115" s="27"/>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8"/>
    </row>
    <row r="116" spans="1:56" s="14" customFormat="1" x14ac:dyDescent="0.2">
      <c r="A116" s="92">
        <f>IF(F116&lt;&gt;"",1+MAX($A$6:A115),"")</f>
        <v>85</v>
      </c>
      <c r="B116" s="94" t="s">
        <v>23</v>
      </c>
      <c r="C116" s="94"/>
      <c r="D116" s="102"/>
      <c r="E116" s="106" t="s">
        <v>109</v>
      </c>
      <c r="F116" s="96">
        <f>40.1*4.9</f>
        <v>196.49</v>
      </c>
      <c r="G116" s="104">
        <v>0.05</v>
      </c>
      <c r="H116" s="98">
        <f t="shared" si="18"/>
        <v>206.31450000000001</v>
      </c>
      <c r="I116" s="93" t="s">
        <v>21</v>
      </c>
      <c r="J116" s="99">
        <f t="shared" si="19"/>
        <v>0</v>
      </c>
      <c r="K116" s="105">
        <f t="shared" si="20"/>
        <v>0</v>
      </c>
      <c r="L116" s="101"/>
      <c r="M116" s="27"/>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c r="AZ116" s="28"/>
      <c r="BA116" s="28"/>
      <c r="BB116" s="28"/>
      <c r="BC116" s="28"/>
      <c r="BD116" s="28"/>
    </row>
    <row r="117" spans="1:56" s="14" customFormat="1" x14ac:dyDescent="0.2">
      <c r="A117" s="92">
        <f>IF(F117&lt;&gt;"",1+MAX($A$6:A116),"")</f>
        <v>86</v>
      </c>
      <c r="B117" s="94" t="s">
        <v>23</v>
      </c>
      <c r="C117" s="94"/>
      <c r="D117" s="102"/>
      <c r="E117" s="106" t="s">
        <v>110</v>
      </c>
      <c r="F117" s="96">
        <f>35.4*8.2</f>
        <v>290.27999999999997</v>
      </c>
      <c r="G117" s="104">
        <v>0.05</v>
      </c>
      <c r="H117" s="98">
        <f t="shared" si="18"/>
        <v>304.79399999999998</v>
      </c>
      <c r="I117" s="93" t="s">
        <v>21</v>
      </c>
      <c r="J117" s="99">
        <f t="shared" si="19"/>
        <v>0</v>
      </c>
      <c r="K117" s="105">
        <f t="shared" si="20"/>
        <v>0</v>
      </c>
      <c r="L117" s="101"/>
      <c r="M117" s="27"/>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8"/>
    </row>
    <row r="118" spans="1:56" s="14" customFormat="1" x14ac:dyDescent="0.2">
      <c r="A118" s="92">
        <f>IF(F118&lt;&gt;"",1+MAX($A$6:A117),"")</f>
        <v>87</v>
      </c>
      <c r="B118" s="94" t="s">
        <v>23</v>
      </c>
      <c r="C118" s="94"/>
      <c r="D118" s="102"/>
      <c r="E118" s="106" t="s">
        <v>111</v>
      </c>
      <c r="F118" s="96">
        <f>94*12.3</f>
        <v>1156.2</v>
      </c>
      <c r="G118" s="104">
        <v>0.05</v>
      </c>
      <c r="H118" s="98">
        <f t="shared" si="18"/>
        <v>1214.01</v>
      </c>
      <c r="I118" s="93" t="s">
        <v>21</v>
      </c>
      <c r="J118" s="99">
        <f t="shared" si="19"/>
        <v>0</v>
      </c>
      <c r="K118" s="105">
        <f t="shared" si="20"/>
        <v>0</v>
      </c>
      <c r="L118" s="101"/>
      <c r="M118" s="27"/>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c r="BC118" s="28"/>
      <c r="BD118" s="28"/>
    </row>
    <row r="119" spans="1:56" x14ac:dyDescent="0.2">
      <c r="A119" s="92" t="str">
        <f>IF(F119&lt;&gt;"",1+MAX($A$6:A118),"")</f>
        <v/>
      </c>
      <c r="B119" s="94"/>
      <c r="C119" s="94"/>
      <c r="D119" s="94"/>
      <c r="E119" s="106"/>
      <c r="F119" s="96"/>
      <c r="G119" s="104"/>
      <c r="H119" s="98"/>
      <c r="I119" s="93"/>
      <c r="J119" s="99"/>
      <c r="K119" s="105"/>
      <c r="L119" s="101"/>
      <c r="M119" s="27"/>
    </row>
    <row r="120" spans="1:56" s="14" customFormat="1" x14ac:dyDescent="0.2">
      <c r="A120" s="111"/>
      <c r="B120" s="112"/>
      <c r="C120" s="112"/>
      <c r="D120" s="112"/>
      <c r="E120" s="103" t="s">
        <v>106</v>
      </c>
      <c r="F120" s="112"/>
      <c r="G120" s="112"/>
      <c r="H120" s="112"/>
      <c r="I120" s="112"/>
      <c r="J120" s="113"/>
      <c r="K120" s="114"/>
      <c r="L120" s="115"/>
      <c r="M120" s="27"/>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row>
    <row r="121" spans="1:56" s="14" customFormat="1" x14ac:dyDescent="0.2">
      <c r="A121" s="92">
        <f>IF(F121&lt;&gt;"",1+MAX($A$6:A119),"")</f>
        <v>88</v>
      </c>
      <c r="B121" s="94" t="s">
        <v>23</v>
      </c>
      <c r="C121" s="94"/>
      <c r="D121" s="102"/>
      <c r="E121" s="106" t="s">
        <v>108</v>
      </c>
      <c r="F121" s="96">
        <f>18.6*2*20</f>
        <v>744</v>
      </c>
      <c r="G121" s="104">
        <v>0.05</v>
      </c>
      <c r="H121" s="98">
        <f>F121*(1+G121)</f>
        <v>781.2</v>
      </c>
      <c r="I121" s="93" t="s">
        <v>21</v>
      </c>
      <c r="J121" s="99">
        <f>J$10</f>
        <v>0</v>
      </c>
      <c r="K121" s="105">
        <f>J121*H121</f>
        <v>0</v>
      </c>
      <c r="L121" s="101"/>
      <c r="M121" s="27"/>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8"/>
    </row>
    <row r="122" spans="1:56" s="14" customFormat="1" x14ac:dyDescent="0.2">
      <c r="A122" s="92">
        <f>IF(F122&lt;&gt;"",1+MAX($A$6:A121),"")</f>
        <v>89</v>
      </c>
      <c r="B122" s="94" t="s">
        <v>23</v>
      </c>
      <c r="C122" s="94"/>
      <c r="D122" s="102"/>
      <c r="E122" s="106" t="s">
        <v>107</v>
      </c>
      <c r="F122" s="96">
        <f>(10*4+8*13+1*17+1*22.67+4*3)*8.2</f>
        <v>1604.4939999999999</v>
      </c>
      <c r="G122" s="104">
        <v>0.05</v>
      </c>
      <c r="H122" s="98">
        <f>F122*(1+G122)</f>
        <v>1684.7186999999999</v>
      </c>
      <c r="I122" s="93" t="s">
        <v>21</v>
      </c>
      <c r="J122" s="99">
        <f>J$10</f>
        <v>0</v>
      </c>
      <c r="K122" s="105">
        <f>J122*H122</f>
        <v>0</v>
      </c>
      <c r="L122" s="101"/>
      <c r="M122" s="27"/>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row>
    <row r="123" spans="1:56" x14ac:dyDescent="0.2">
      <c r="A123" s="92" t="str">
        <f>IF(F123&lt;&gt;"",1+MAX($A$6:A122),"")</f>
        <v/>
      </c>
      <c r="B123" s="94"/>
      <c r="C123" s="94"/>
      <c r="D123" s="94"/>
      <c r="E123" s="106"/>
      <c r="F123" s="96"/>
      <c r="G123" s="104"/>
      <c r="H123" s="98"/>
      <c r="I123" s="93"/>
      <c r="J123" s="99"/>
      <c r="K123" s="105"/>
      <c r="L123" s="101"/>
    </row>
    <row r="124" spans="1:56" s="14" customFormat="1" x14ac:dyDescent="0.2">
      <c r="A124" s="92" t="str">
        <f>IF(F124&lt;&gt;"",1+MAX($A$6:A123),"")</f>
        <v/>
      </c>
      <c r="B124" s="94"/>
      <c r="C124" s="94"/>
      <c r="D124" s="102"/>
      <c r="E124" s="103" t="s">
        <v>95</v>
      </c>
      <c r="F124" s="96"/>
      <c r="G124" s="104"/>
      <c r="H124" s="98"/>
      <c r="I124" s="93"/>
      <c r="J124" s="99"/>
      <c r="K124" s="105"/>
      <c r="L124" s="101"/>
      <c r="M124" s="27"/>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row>
    <row r="125" spans="1:56" s="14" customFormat="1" x14ac:dyDescent="0.2">
      <c r="A125" s="92">
        <f>IF(F125&lt;&gt;"",1+MAX($A$6:A124),"")</f>
        <v>90</v>
      </c>
      <c r="B125" s="94" t="s">
        <v>23</v>
      </c>
      <c r="C125" s="94"/>
      <c r="D125" s="102"/>
      <c r="E125" s="106" t="s">
        <v>96</v>
      </c>
      <c r="F125" s="96">
        <f>23.1*19.02</f>
        <v>439.36200000000002</v>
      </c>
      <c r="G125" s="104">
        <v>0.05</v>
      </c>
      <c r="H125" s="98">
        <f t="shared" ref="H125:H141" si="21">F125*(1+G125)</f>
        <v>461.33010000000002</v>
      </c>
      <c r="I125" s="93" t="s">
        <v>21</v>
      </c>
      <c r="J125" s="99">
        <f t="shared" ref="J125:J141" si="22">J$10</f>
        <v>0</v>
      </c>
      <c r="K125" s="105">
        <f t="shared" ref="K125:K141" si="23">J125*H125</f>
        <v>0</v>
      </c>
      <c r="L125" s="101"/>
      <c r="M125" s="27"/>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c r="BB125" s="28"/>
      <c r="BC125" s="28"/>
      <c r="BD125" s="28"/>
    </row>
    <row r="126" spans="1:56" s="14" customFormat="1" x14ac:dyDescent="0.2">
      <c r="A126" s="92">
        <f>IF(F126&lt;&gt;"",1+MAX($A$6:A125),"")</f>
        <v>91</v>
      </c>
      <c r="B126" s="94" t="s">
        <v>23</v>
      </c>
      <c r="C126" s="94"/>
      <c r="D126" s="102"/>
      <c r="E126" s="106" t="s">
        <v>97</v>
      </c>
      <c r="F126" s="96">
        <f>74.1*42.79</f>
        <v>3170.7389999999996</v>
      </c>
      <c r="G126" s="104">
        <v>0.05</v>
      </c>
      <c r="H126" s="98">
        <f t="shared" si="21"/>
        <v>3329.2759499999997</v>
      </c>
      <c r="I126" s="93" t="s">
        <v>21</v>
      </c>
      <c r="J126" s="99">
        <f t="shared" si="22"/>
        <v>0</v>
      </c>
      <c r="K126" s="105">
        <f t="shared" si="23"/>
        <v>0</v>
      </c>
      <c r="L126" s="101"/>
      <c r="M126" s="27"/>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row>
    <row r="127" spans="1:56" s="14" customFormat="1" x14ac:dyDescent="0.2">
      <c r="A127" s="92">
        <f>IF(F127&lt;&gt;"",1+MAX($A$6:A126),"")</f>
        <v>92</v>
      </c>
      <c r="B127" s="94" t="s">
        <v>23</v>
      </c>
      <c r="C127" s="94"/>
      <c r="D127" s="102"/>
      <c r="E127" s="106" t="s">
        <v>98</v>
      </c>
      <c r="F127" s="96">
        <f>429*32.58</f>
        <v>13976.82</v>
      </c>
      <c r="G127" s="104">
        <v>0.05</v>
      </c>
      <c r="H127" s="98">
        <f t="shared" si="21"/>
        <v>14675.661</v>
      </c>
      <c r="I127" s="93" t="s">
        <v>21</v>
      </c>
      <c r="J127" s="99">
        <f t="shared" si="22"/>
        <v>0</v>
      </c>
      <c r="K127" s="105">
        <f t="shared" si="23"/>
        <v>0</v>
      </c>
      <c r="L127" s="101"/>
      <c r="M127" s="27"/>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c r="BB127" s="28"/>
      <c r="BC127" s="28"/>
      <c r="BD127" s="28"/>
    </row>
    <row r="128" spans="1:56" s="14" customFormat="1" x14ac:dyDescent="0.2">
      <c r="A128" s="92">
        <f>IF(F128&lt;&gt;"",1+MAX($A$6:A127),"")</f>
        <v>93</v>
      </c>
      <c r="B128" s="94" t="s">
        <v>23</v>
      </c>
      <c r="C128" s="94"/>
      <c r="D128" s="102"/>
      <c r="E128" s="106" t="s">
        <v>99</v>
      </c>
      <c r="F128" s="96">
        <f>104.3*12</f>
        <v>1251.5999999999999</v>
      </c>
      <c r="G128" s="104">
        <v>0.05</v>
      </c>
      <c r="H128" s="98">
        <f t="shared" si="21"/>
        <v>1314.18</v>
      </c>
      <c r="I128" s="93" t="s">
        <v>21</v>
      </c>
      <c r="J128" s="99">
        <f t="shared" si="22"/>
        <v>0</v>
      </c>
      <c r="K128" s="105">
        <f t="shared" si="23"/>
        <v>0</v>
      </c>
      <c r="L128" s="101"/>
      <c r="M128" s="27"/>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8"/>
    </row>
    <row r="129" spans="1:56" s="14" customFormat="1" x14ac:dyDescent="0.2">
      <c r="A129" s="92">
        <f>IF(F129&lt;&gt;"",1+MAX($A$6:A128),"")</f>
        <v>94</v>
      </c>
      <c r="B129" s="94" t="s">
        <v>23</v>
      </c>
      <c r="C129" s="94"/>
      <c r="D129" s="102"/>
      <c r="E129" s="106" t="s">
        <v>81</v>
      </c>
      <c r="F129" s="96">
        <f>1388.8*19</f>
        <v>26387.200000000001</v>
      </c>
      <c r="G129" s="104">
        <v>0.05</v>
      </c>
      <c r="H129" s="98">
        <f t="shared" si="21"/>
        <v>27706.560000000001</v>
      </c>
      <c r="I129" s="93" t="s">
        <v>21</v>
      </c>
      <c r="J129" s="99">
        <f t="shared" si="22"/>
        <v>0</v>
      </c>
      <c r="K129" s="105">
        <f t="shared" si="23"/>
        <v>0</v>
      </c>
      <c r="L129" s="101"/>
      <c r="M129" s="27"/>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8"/>
    </row>
    <row r="130" spans="1:56" s="14" customFormat="1" x14ac:dyDescent="0.2">
      <c r="A130" s="92">
        <f>IF(F130&lt;&gt;"",1+MAX($A$6:A129),"")</f>
        <v>95</v>
      </c>
      <c r="B130" s="94" t="s">
        <v>23</v>
      </c>
      <c r="C130" s="94"/>
      <c r="D130" s="102"/>
      <c r="E130" s="106" t="s">
        <v>82</v>
      </c>
      <c r="F130" s="96">
        <f>224.6*22</f>
        <v>4941.2</v>
      </c>
      <c r="G130" s="104">
        <v>0.05</v>
      </c>
      <c r="H130" s="98">
        <f t="shared" si="21"/>
        <v>5188.26</v>
      </c>
      <c r="I130" s="93" t="s">
        <v>21</v>
      </c>
      <c r="J130" s="99">
        <f t="shared" si="22"/>
        <v>0</v>
      </c>
      <c r="K130" s="105">
        <f t="shared" si="23"/>
        <v>0</v>
      </c>
      <c r="L130" s="101"/>
      <c r="M130" s="27"/>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c r="AZ130" s="28"/>
      <c r="BA130" s="28"/>
      <c r="BB130" s="28"/>
      <c r="BC130" s="28"/>
      <c r="BD130" s="28"/>
    </row>
    <row r="131" spans="1:56" s="14" customFormat="1" x14ac:dyDescent="0.2">
      <c r="A131" s="92">
        <f>IF(F131&lt;&gt;"",1+MAX($A$6:A130),"")</f>
        <v>96</v>
      </c>
      <c r="B131" s="94" t="s">
        <v>23</v>
      </c>
      <c r="C131" s="94"/>
      <c r="D131" s="102"/>
      <c r="E131" s="106" t="s">
        <v>100</v>
      </c>
      <c r="F131" s="96">
        <f>11.6*26</f>
        <v>301.59999999999997</v>
      </c>
      <c r="G131" s="104">
        <v>0.05</v>
      </c>
      <c r="H131" s="98">
        <f t="shared" si="21"/>
        <v>316.67999999999995</v>
      </c>
      <c r="I131" s="93" t="s">
        <v>21</v>
      </c>
      <c r="J131" s="99">
        <f t="shared" si="22"/>
        <v>0</v>
      </c>
      <c r="K131" s="105">
        <f t="shared" si="23"/>
        <v>0</v>
      </c>
      <c r="L131" s="101"/>
      <c r="M131" s="27"/>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c r="AZ131" s="28"/>
      <c r="BA131" s="28"/>
      <c r="BB131" s="28"/>
      <c r="BC131" s="28"/>
      <c r="BD131" s="28"/>
    </row>
    <row r="132" spans="1:56" s="14" customFormat="1" x14ac:dyDescent="0.2">
      <c r="A132" s="92">
        <f>IF(F132&lt;&gt;"",1+MAX($A$6:A131),"")</f>
        <v>97</v>
      </c>
      <c r="B132" s="94" t="s">
        <v>23</v>
      </c>
      <c r="C132" s="94"/>
      <c r="D132" s="102"/>
      <c r="E132" s="106" t="s">
        <v>83</v>
      </c>
      <c r="F132" s="96">
        <f>313.8*26</f>
        <v>8158.8</v>
      </c>
      <c r="G132" s="104">
        <v>0.05</v>
      </c>
      <c r="H132" s="98">
        <f t="shared" si="21"/>
        <v>8566.74</v>
      </c>
      <c r="I132" s="93" t="s">
        <v>21</v>
      </c>
      <c r="J132" s="99">
        <f t="shared" si="22"/>
        <v>0</v>
      </c>
      <c r="K132" s="105">
        <f t="shared" si="23"/>
        <v>0</v>
      </c>
      <c r="L132" s="101"/>
      <c r="M132" s="27"/>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28"/>
      <c r="AS132" s="28"/>
      <c r="AT132" s="28"/>
      <c r="AU132" s="28"/>
      <c r="AV132" s="28"/>
      <c r="AW132" s="28"/>
      <c r="AX132" s="28"/>
      <c r="AY132" s="28"/>
      <c r="AZ132" s="28"/>
      <c r="BA132" s="28"/>
      <c r="BB132" s="28"/>
      <c r="BC132" s="28"/>
      <c r="BD132" s="28"/>
    </row>
    <row r="133" spans="1:56" s="14" customFormat="1" x14ac:dyDescent="0.2">
      <c r="A133" s="92">
        <f>IF(F133&lt;&gt;"",1+MAX($A$6:A132),"")</f>
        <v>98</v>
      </c>
      <c r="B133" s="94" t="s">
        <v>23</v>
      </c>
      <c r="C133" s="94"/>
      <c r="D133" s="102"/>
      <c r="E133" s="106" t="s">
        <v>101</v>
      </c>
      <c r="F133" s="96">
        <f>77.6*31</f>
        <v>2405.6</v>
      </c>
      <c r="G133" s="104">
        <v>0.05</v>
      </c>
      <c r="H133" s="98">
        <f t="shared" si="21"/>
        <v>2525.88</v>
      </c>
      <c r="I133" s="93" t="s">
        <v>21</v>
      </c>
      <c r="J133" s="99">
        <f t="shared" si="22"/>
        <v>0</v>
      </c>
      <c r="K133" s="105">
        <f t="shared" si="23"/>
        <v>0</v>
      </c>
      <c r="L133" s="101"/>
      <c r="M133" s="27"/>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28"/>
      <c r="AS133" s="28"/>
      <c r="AT133" s="28"/>
      <c r="AU133" s="28"/>
      <c r="AV133" s="28"/>
      <c r="AW133" s="28"/>
      <c r="AX133" s="28"/>
      <c r="AY133" s="28"/>
      <c r="AZ133" s="28"/>
      <c r="BA133" s="28"/>
      <c r="BB133" s="28"/>
      <c r="BC133" s="28"/>
      <c r="BD133" s="28"/>
    </row>
    <row r="134" spans="1:56" s="14" customFormat="1" x14ac:dyDescent="0.2">
      <c r="A134" s="92">
        <f>IF(F134&lt;&gt;"",1+MAX($A$6:A133),"")</f>
        <v>99</v>
      </c>
      <c r="B134" s="94" t="s">
        <v>23</v>
      </c>
      <c r="C134" s="94"/>
      <c r="D134" s="102"/>
      <c r="E134" s="106" t="s">
        <v>69</v>
      </c>
      <c r="F134" s="96">
        <f>389*35</f>
        <v>13615</v>
      </c>
      <c r="G134" s="104">
        <v>0.05</v>
      </c>
      <c r="H134" s="98">
        <f t="shared" si="21"/>
        <v>14295.75</v>
      </c>
      <c r="I134" s="93" t="s">
        <v>21</v>
      </c>
      <c r="J134" s="99">
        <f t="shared" si="22"/>
        <v>0</v>
      </c>
      <c r="K134" s="105">
        <f t="shared" si="23"/>
        <v>0</v>
      </c>
      <c r="L134" s="101"/>
      <c r="M134" s="27"/>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28"/>
      <c r="AS134" s="28"/>
      <c r="AT134" s="28"/>
      <c r="AU134" s="28"/>
      <c r="AV134" s="28"/>
      <c r="AW134" s="28"/>
      <c r="AX134" s="28"/>
      <c r="AY134" s="28"/>
      <c r="AZ134" s="28"/>
      <c r="BA134" s="28"/>
      <c r="BB134" s="28"/>
      <c r="BC134" s="28"/>
      <c r="BD134" s="28"/>
    </row>
    <row r="135" spans="1:56" s="14" customFormat="1" x14ac:dyDescent="0.2">
      <c r="A135" s="92">
        <f>IF(F135&lt;&gt;"",1+MAX($A$6:A134),"")</f>
        <v>100</v>
      </c>
      <c r="B135" s="94" t="s">
        <v>23</v>
      </c>
      <c r="C135" s="94"/>
      <c r="D135" s="102"/>
      <c r="E135" s="106" t="s">
        <v>102</v>
      </c>
      <c r="F135" s="96">
        <f>31.7*40</f>
        <v>1268</v>
      </c>
      <c r="G135" s="104">
        <v>0.05</v>
      </c>
      <c r="H135" s="98">
        <f t="shared" si="21"/>
        <v>1331.4</v>
      </c>
      <c r="I135" s="93" t="s">
        <v>21</v>
      </c>
      <c r="J135" s="99">
        <f t="shared" si="22"/>
        <v>0</v>
      </c>
      <c r="K135" s="105">
        <f t="shared" si="23"/>
        <v>0</v>
      </c>
      <c r="L135" s="101"/>
      <c r="M135" s="27"/>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28"/>
      <c r="AS135" s="28"/>
      <c r="AT135" s="28"/>
      <c r="AU135" s="28"/>
      <c r="AV135" s="28"/>
      <c r="AW135" s="28"/>
      <c r="AX135" s="28"/>
      <c r="AY135" s="28"/>
      <c r="AZ135" s="28"/>
      <c r="BA135" s="28"/>
      <c r="BB135" s="28"/>
      <c r="BC135" s="28"/>
      <c r="BD135" s="28"/>
    </row>
    <row r="136" spans="1:56" s="14" customFormat="1" x14ac:dyDescent="0.2">
      <c r="A136" s="92">
        <f>IF(F136&lt;&gt;"",1+MAX($A$6:A135),"")</f>
        <v>101</v>
      </c>
      <c r="B136" s="94" t="s">
        <v>23</v>
      </c>
      <c r="C136" s="94"/>
      <c r="D136" s="102"/>
      <c r="E136" s="106" t="s">
        <v>84</v>
      </c>
      <c r="F136" s="96">
        <f>422.6*44</f>
        <v>18594.400000000001</v>
      </c>
      <c r="G136" s="104">
        <v>0.05</v>
      </c>
      <c r="H136" s="98">
        <f t="shared" si="21"/>
        <v>19524.120000000003</v>
      </c>
      <c r="I136" s="93" t="s">
        <v>21</v>
      </c>
      <c r="J136" s="99">
        <f t="shared" si="22"/>
        <v>0</v>
      </c>
      <c r="K136" s="105">
        <f t="shared" si="23"/>
        <v>0</v>
      </c>
      <c r="L136" s="101"/>
      <c r="M136" s="27"/>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28"/>
      <c r="AV136" s="28"/>
      <c r="AW136" s="28"/>
      <c r="AX136" s="28"/>
      <c r="AY136" s="28"/>
      <c r="AZ136" s="28"/>
      <c r="BA136" s="28"/>
      <c r="BB136" s="28"/>
      <c r="BC136" s="28"/>
      <c r="BD136" s="28"/>
    </row>
    <row r="137" spans="1:56" s="14" customFormat="1" x14ac:dyDescent="0.2">
      <c r="A137" s="92">
        <f>IF(F137&lt;&gt;"",1+MAX($A$6:A136),"")</f>
        <v>102</v>
      </c>
      <c r="B137" s="94" t="s">
        <v>23</v>
      </c>
      <c r="C137" s="94"/>
      <c r="D137" s="102"/>
      <c r="E137" s="106" t="s">
        <v>103</v>
      </c>
      <c r="F137" s="96">
        <f>136.4*48</f>
        <v>6547.2000000000007</v>
      </c>
      <c r="G137" s="104">
        <v>0.05</v>
      </c>
      <c r="H137" s="98">
        <f t="shared" si="21"/>
        <v>6874.5600000000013</v>
      </c>
      <c r="I137" s="93" t="s">
        <v>21</v>
      </c>
      <c r="J137" s="99">
        <f t="shared" si="22"/>
        <v>0</v>
      </c>
      <c r="K137" s="105">
        <f t="shared" si="23"/>
        <v>0</v>
      </c>
      <c r="L137" s="101"/>
      <c r="M137" s="27"/>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28"/>
      <c r="AV137" s="28"/>
      <c r="AW137" s="28"/>
      <c r="AX137" s="28"/>
      <c r="AY137" s="28"/>
      <c r="AZ137" s="28"/>
      <c r="BA137" s="28"/>
      <c r="BB137" s="28"/>
      <c r="BC137" s="28"/>
      <c r="BD137" s="28"/>
    </row>
    <row r="138" spans="1:56" s="14" customFormat="1" x14ac:dyDescent="0.2">
      <c r="A138" s="92">
        <f>IF(F138&lt;&gt;"",1+MAX($A$6:A137),"")</f>
        <v>103</v>
      </c>
      <c r="B138" s="94" t="s">
        <v>23</v>
      </c>
      <c r="C138" s="94"/>
      <c r="D138" s="102"/>
      <c r="E138" s="106" t="s">
        <v>104</v>
      </c>
      <c r="F138" s="96">
        <f>107.1*55</f>
        <v>5890.5</v>
      </c>
      <c r="G138" s="104">
        <v>0.05</v>
      </c>
      <c r="H138" s="98">
        <f t="shared" si="21"/>
        <v>6185.0250000000005</v>
      </c>
      <c r="I138" s="93" t="s">
        <v>21</v>
      </c>
      <c r="J138" s="99">
        <f t="shared" si="22"/>
        <v>0</v>
      </c>
      <c r="K138" s="105">
        <f t="shared" si="23"/>
        <v>0</v>
      </c>
      <c r="L138" s="101"/>
      <c r="M138" s="27"/>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8"/>
      <c r="AZ138" s="28"/>
      <c r="BA138" s="28"/>
      <c r="BB138" s="28"/>
      <c r="BC138" s="28"/>
      <c r="BD138" s="28"/>
    </row>
    <row r="139" spans="1:56" s="14" customFormat="1" x14ac:dyDescent="0.2">
      <c r="A139" s="92">
        <f>IF(F139&lt;&gt;"",1+MAX($A$6:A138),"")</f>
        <v>104</v>
      </c>
      <c r="B139" s="94" t="s">
        <v>23</v>
      </c>
      <c r="C139" s="94"/>
      <c r="D139" s="102"/>
      <c r="E139" s="106" t="s">
        <v>85</v>
      </c>
      <c r="F139" s="96">
        <f>47.5*62</f>
        <v>2945</v>
      </c>
      <c r="G139" s="104">
        <v>0.05</v>
      </c>
      <c r="H139" s="98">
        <f t="shared" si="21"/>
        <v>3092.25</v>
      </c>
      <c r="I139" s="93" t="s">
        <v>21</v>
      </c>
      <c r="J139" s="99">
        <f t="shared" si="22"/>
        <v>0</v>
      </c>
      <c r="K139" s="105">
        <f t="shared" si="23"/>
        <v>0</v>
      </c>
      <c r="L139" s="101"/>
      <c r="M139" s="27"/>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c r="AZ139" s="28"/>
      <c r="BA139" s="28"/>
      <c r="BB139" s="28"/>
      <c r="BC139" s="28"/>
      <c r="BD139" s="28"/>
    </row>
    <row r="140" spans="1:56" s="14" customFormat="1" x14ac:dyDescent="0.2">
      <c r="A140" s="92">
        <f>IF(F140&lt;&gt;"",1+MAX($A$6:A139),"")</f>
        <v>105</v>
      </c>
      <c r="B140" s="94" t="s">
        <v>23</v>
      </c>
      <c r="C140" s="94"/>
      <c r="D140" s="102"/>
      <c r="E140" s="106" t="s">
        <v>105</v>
      </c>
      <c r="F140" s="96">
        <f>117.2*68</f>
        <v>7969.6</v>
      </c>
      <c r="G140" s="104">
        <v>0.05</v>
      </c>
      <c r="H140" s="98">
        <f t="shared" si="21"/>
        <v>8368.08</v>
      </c>
      <c r="I140" s="93" t="s">
        <v>21</v>
      </c>
      <c r="J140" s="99">
        <f t="shared" si="22"/>
        <v>0</v>
      </c>
      <c r="K140" s="105">
        <f t="shared" si="23"/>
        <v>0</v>
      </c>
      <c r="L140" s="101"/>
      <c r="M140" s="27"/>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8"/>
    </row>
    <row r="141" spans="1:56" s="14" customFormat="1" x14ac:dyDescent="0.2">
      <c r="A141" s="92">
        <f>IF(F141&lt;&gt;"",1+MAX($A$6:A140),"")</f>
        <v>106</v>
      </c>
      <c r="B141" s="94" t="s">
        <v>23</v>
      </c>
      <c r="C141" s="94"/>
      <c r="D141" s="102"/>
      <c r="E141" s="106" t="s">
        <v>86</v>
      </c>
      <c r="F141" s="96">
        <f>44.3*76</f>
        <v>3366.7999999999997</v>
      </c>
      <c r="G141" s="104">
        <v>0.05</v>
      </c>
      <c r="H141" s="98">
        <f t="shared" si="21"/>
        <v>3535.14</v>
      </c>
      <c r="I141" s="93" t="s">
        <v>21</v>
      </c>
      <c r="J141" s="99">
        <f t="shared" si="22"/>
        <v>0</v>
      </c>
      <c r="K141" s="105">
        <f t="shared" si="23"/>
        <v>0</v>
      </c>
      <c r="L141" s="101"/>
      <c r="M141" s="27"/>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c r="AP141" s="28"/>
      <c r="AQ141" s="28"/>
      <c r="AR141" s="28"/>
      <c r="AS141" s="28"/>
      <c r="AT141" s="28"/>
      <c r="AU141" s="28"/>
      <c r="AV141" s="28"/>
      <c r="AW141" s="28"/>
      <c r="AX141" s="28"/>
      <c r="AY141" s="28"/>
      <c r="AZ141" s="28"/>
      <c r="BA141" s="28"/>
      <c r="BB141" s="28"/>
      <c r="BC141" s="28"/>
      <c r="BD141" s="28"/>
    </row>
    <row r="142" spans="1:56" x14ac:dyDescent="0.2">
      <c r="A142" s="92" t="str">
        <f>IF(F142&lt;&gt;"",1+MAX($A$6:A141),"")</f>
        <v/>
      </c>
      <c r="B142" s="94"/>
      <c r="C142" s="94"/>
      <c r="D142" s="94"/>
      <c r="E142" s="106"/>
      <c r="F142" s="96"/>
      <c r="G142" s="104"/>
      <c r="H142" s="98"/>
      <c r="I142" s="93"/>
      <c r="J142" s="99"/>
      <c r="K142" s="105"/>
      <c r="L142" s="101"/>
    </row>
    <row r="143" spans="1:56" s="14" customFormat="1" x14ac:dyDescent="0.2">
      <c r="A143" s="92" t="str">
        <f>IF(F143&lt;&gt;"",1+MAX($A$6:A142),"")</f>
        <v/>
      </c>
      <c r="B143" s="94"/>
      <c r="C143" s="94"/>
      <c r="D143" s="102"/>
      <c r="E143" s="103" t="s">
        <v>80</v>
      </c>
      <c r="F143" s="96"/>
      <c r="G143" s="104"/>
      <c r="H143" s="98"/>
      <c r="I143" s="93"/>
      <c r="J143" s="99"/>
      <c r="K143" s="105"/>
      <c r="L143" s="101"/>
      <c r="M143" s="27"/>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8"/>
      <c r="AZ143" s="28"/>
      <c r="BA143" s="28"/>
      <c r="BB143" s="28"/>
      <c r="BC143" s="28"/>
      <c r="BD143" s="28"/>
    </row>
    <row r="144" spans="1:56" s="14" customFormat="1" x14ac:dyDescent="0.2">
      <c r="A144" s="92">
        <f>IF(F144&lt;&gt;"",1+MAX($A$6:A143),"")</f>
        <v>107</v>
      </c>
      <c r="B144" s="94" t="s">
        <v>23</v>
      </c>
      <c r="C144" s="94"/>
      <c r="D144" s="102"/>
      <c r="E144" s="106" t="s">
        <v>81</v>
      </c>
      <c r="F144" s="96">
        <f>271.6*19</f>
        <v>5160.4000000000005</v>
      </c>
      <c r="G144" s="104">
        <v>0.05</v>
      </c>
      <c r="H144" s="98">
        <f t="shared" ref="H144:H151" si="24">F144*(1+G144)</f>
        <v>5418.420000000001</v>
      </c>
      <c r="I144" s="93" t="s">
        <v>21</v>
      </c>
      <c r="J144" s="99">
        <f t="shared" ref="J144:J151" si="25">J$10</f>
        <v>0</v>
      </c>
      <c r="K144" s="105">
        <f t="shared" ref="K144:K151" si="26">J144*H144</f>
        <v>0</v>
      </c>
      <c r="L144" s="101"/>
      <c r="M144" s="27"/>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28"/>
      <c r="AS144" s="28"/>
      <c r="AT144" s="28"/>
      <c r="AU144" s="28"/>
      <c r="AV144" s="28"/>
      <c r="AW144" s="28"/>
      <c r="AX144" s="28"/>
      <c r="AY144" s="28"/>
      <c r="AZ144" s="28"/>
      <c r="BA144" s="28"/>
      <c r="BB144" s="28"/>
      <c r="BC144" s="28"/>
      <c r="BD144" s="28"/>
    </row>
    <row r="145" spans="1:56" s="14" customFormat="1" x14ac:dyDescent="0.2">
      <c r="A145" s="92">
        <f>IF(F145&lt;&gt;"",1+MAX($A$6:A144),"")</f>
        <v>108</v>
      </c>
      <c r="B145" s="94" t="s">
        <v>23</v>
      </c>
      <c r="C145" s="94"/>
      <c r="D145" s="102"/>
      <c r="E145" s="106" t="s">
        <v>82</v>
      </c>
      <c r="F145" s="96">
        <f>53.1*22</f>
        <v>1168.2</v>
      </c>
      <c r="G145" s="104">
        <v>0.05</v>
      </c>
      <c r="H145" s="98">
        <f t="shared" si="24"/>
        <v>1226.6100000000001</v>
      </c>
      <c r="I145" s="93" t="s">
        <v>21</v>
      </c>
      <c r="J145" s="99">
        <f t="shared" si="25"/>
        <v>0</v>
      </c>
      <c r="K145" s="105">
        <f t="shared" si="26"/>
        <v>0</v>
      </c>
      <c r="L145" s="101"/>
      <c r="M145" s="27"/>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c r="AP145" s="28"/>
      <c r="AQ145" s="28"/>
      <c r="AR145" s="28"/>
      <c r="AS145" s="28"/>
      <c r="AT145" s="28"/>
      <c r="AU145" s="28"/>
      <c r="AV145" s="28"/>
      <c r="AW145" s="28"/>
      <c r="AX145" s="28"/>
      <c r="AY145" s="28"/>
      <c r="AZ145" s="28"/>
      <c r="BA145" s="28"/>
      <c r="BB145" s="28"/>
      <c r="BC145" s="28"/>
      <c r="BD145" s="28"/>
    </row>
    <row r="146" spans="1:56" s="14" customFormat="1" x14ac:dyDescent="0.2">
      <c r="A146" s="92">
        <f>IF(F146&lt;&gt;"",1+MAX($A$6:A145),"")</f>
        <v>109</v>
      </c>
      <c r="B146" s="94" t="s">
        <v>23</v>
      </c>
      <c r="C146" s="94"/>
      <c r="D146" s="102"/>
      <c r="E146" s="106" t="s">
        <v>83</v>
      </c>
      <c r="F146" s="96">
        <f>252*26</f>
        <v>6552</v>
      </c>
      <c r="G146" s="104">
        <v>0.05</v>
      </c>
      <c r="H146" s="98">
        <f t="shared" si="24"/>
        <v>6879.6</v>
      </c>
      <c r="I146" s="93" t="s">
        <v>21</v>
      </c>
      <c r="J146" s="99">
        <f t="shared" si="25"/>
        <v>0</v>
      </c>
      <c r="K146" s="105">
        <f t="shared" si="26"/>
        <v>0</v>
      </c>
      <c r="L146" s="101"/>
      <c r="M146" s="27"/>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c r="AP146" s="28"/>
      <c r="AQ146" s="28"/>
      <c r="AR146" s="28"/>
      <c r="AS146" s="28"/>
      <c r="AT146" s="28"/>
      <c r="AU146" s="28"/>
      <c r="AV146" s="28"/>
      <c r="AW146" s="28"/>
      <c r="AX146" s="28"/>
      <c r="AY146" s="28"/>
      <c r="AZ146" s="28"/>
      <c r="BA146" s="28"/>
      <c r="BB146" s="28"/>
      <c r="BC146" s="28"/>
      <c r="BD146" s="28"/>
    </row>
    <row r="147" spans="1:56" s="14" customFormat="1" x14ac:dyDescent="0.2">
      <c r="A147" s="92">
        <f>IF(F147&lt;&gt;"",1+MAX($A$6:A146),"")</f>
        <v>110</v>
      </c>
      <c r="B147" s="94" t="s">
        <v>23</v>
      </c>
      <c r="C147" s="94"/>
      <c r="D147" s="102"/>
      <c r="E147" s="106" t="s">
        <v>84</v>
      </c>
      <c r="F147" s="96">
        <f>34.1*44</f>
        <v>1500.4</v>
      </c>
      <c r="G147" s="104">
        <v>0.05</v>
      </c>
      <c r="H147" s="98">
        <f t="shared" si="24"/>
        <v>1575.42</v>
      </c>
      <c r="I147" s="93" t="s">
        <v>21</v>
      </c>
      <c r="J147" s="99">
        <f t="shared" si="25"/>
        <v>0</v>
      </c>
      <c r="K147" s="105">
        <f t="shared" si="26"/>
        <v>0</v>
      </c>
      <c r="L147" s="101"/>
      <c r="M147" s="27"/>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c r="AP147" s="28"/>
      <c r="AQ147" s="28"/>
      <c r="AR147" s="28"/>
      <c r="AS147" s="28"/>
      <c r="AT147" s="28"/>
      <c r="AU147" s="28"/>
      <c r="AV147" s="28"/>
      <c r="AW147" s="28"/>
      <c r="AX147" s="28"/>
      <c r="AY147" s="28"/>
      <c r="AZ147" s="28"/>
      <c r="BA147" s="28"/>
      <c r="BB147" s="28"/>
      <c r="BC147" s="28"/>
      <c r="BD147" s="28"/>
    </row>
    <row r="148" spans="1:56" s="14" customFormat="1" x14ac:dyDescent="0.2">
      <c r="A148" s="92">
        <f>IF(F148&lt;&gt;"",1+MAX($A$6:A147),"")</f>
        <v>111</v>
      </c>
      <c r="B148" s="94" t="s">
        <v>23</v>
      </c>
      <c r="C148" s="94"/>
      <c r="D148" s="102"/>
      <c r="E148" s="106" t="s">
        <v>85</v>
      </c>
      <c r="F148" s="96">
        <f>4.3*62</f>
        <v>266.59999999999997</v>
      </c>
      <c r="G148" s="104">
        <v>0.05</v>
      </c>
      <c r="H148" s="98">
        <f t="shared" si="24"/>
        <v>279.92999999999995</v>
      </c>
      <c r="I148" s="93" t="s">
        <v>21</v>
      </c>
      <c r="J148" s="99">
        <f t="shared" si="25"/>
        <v>0</v>
      </c>
      <c r="K148" s="105">
        <f t="shared" si="26"/>
        <v>0</v>
      </c>
      <c r="L148" s="101"/>
      <c r="M148" s="27"/>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c r="AP148" s="28"/>
      <c r="AQ148" s="28"/>
      <c r="AR148" s="28"/>
      <c r="AS148" s="28"/>
      <c r="AT148" s="28"/>
      <c r="AU148" s="28"/>
      <c r="AV148" s="28"/>
      <c r="AW148" s="28"/>
      <c r="AX148" s="28"/>
      <c r="AY148" s="28"/>
      <c r="AZ148" s="28"/>
      <c r="BA148" s="28"/>
      <c r="BB148" s="28"/>
      <c r="BC148" s="28"/>
      <c r="BD148" s="28"/>
    </row>
    <row r="149" spans="1:56" s="14" customFormat="1" x14ac:dyDescent="0.2">
      <c r="A149" s="92">
        <f>IF(F149&lt;&gt;"",1+MAX($A$6:A148),"")</f>
        <v>112</v>
      </c>
      <c r="B149" s="94" t="s">
        <v>23</v>
      </c>
      <c r="C149" s="94"/>
      <c r="D149" s="102"/>
      <c r="E149" s="106" t="s">
        <v>86</v>
      </c>
      <c r="F149" s="96">
        <f>40.1*76</f>
        <v>3047.6</v>
      </c>
      <c r="G149" s="104">
        <v>0.05</v>
      </c>
      <c r="H149" s="98">
        <f t="shared" si="24"/>
        <v>3199.98</v>
      </c>
      <c r="I149" s="93" t="s">
        <v>21</v>
      </c>
      <c r="J149" s="99">
        <f t="shared" si="25"/>
        <v>0</v>
      </c>
      <c r="K149" s="105">
        <f t="shared" si="26"/>
        <v>0</v>
      </c>
      <c r="L149" s="101"/>
      <c r="M149" s="27"/>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28"/>
      <c r="AS149" s="28"/>
      <c r="AT149" s="28"/>
      <c r="AU149" s="28"/>
      <c r="AV149" s="28"/>
      <c r="AW149" s="28"/>
      <c r="AX149" s="28"/>
      <c r="AY149" s="28"/>
      <c r="AZ149" s="28"/>
      <c r="BA149" s="28"/>
      <c r="BB149" s="28"/>
      <c r="BC149" s="28"/>
      <c r="BD149" s="28"/>
    </row>
    <row r="150" spans="1:56" s="14" customFormat="1" x14ac:dyDescent="0.2">
      <c r="A150" s="92">
        <f>IF(F150&lt;&gt;"",1+MAX($A$6:A149),"")</f>
        <v>113</v>
      </c>
      <c r="B150" s="94" t="s">
        <v>23</v>
      </c>
      <c r="C150" s="94"/>
      <c r="D150" s="102"/>
      <c r="E150" s="106" t="s">
        <v>87</v>
      </c>
      <c r="F150" s="96">
        <f>367*84</f>
        <v>30828</v>
      </c>
      <c r="G150" s="104">
        <v>0.05</v>
      </c>
      <c r="H150" s="98">
        <f t="shared" si="24"/>
        <v>32369.4</v>
      </c>
      <c r="I150" s="93" t="s">
        <v>21</v>
      </c>
      <c r="J150" s="99">
        <f t="shared" si="25"/>
        <v>0</v>
      </c>
      <c r="K150" s="105">
        <f t="shared" si="26"/>
        <v>0</v>
      </c>
      <c r="L150" s="101"/>
      <c r="M150" s="27"/>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28"/>
      <c r="AS150" s="28"/>
      <c r="AT150" s="28"/>
      <c r="AU150" s="28"/>
      <c r="AV150" s="28"/>
      <c r="AW150" s="28"/>
      <c r="AX150" s="28"/>
      <c r="AY150" s="28"/>
      <c r="AZ150" s="28"/>
      <c r="BA150" s="28"/>
      <c r="BB150" s="28"/>
      <c r="BC150" s="28"/>
      <c r="BD150" s="28"/>
    </row>
    <row r="151" spans="1:56" s="14" customFormat="1" x14ac:dyDescent="0.2">
      <c r="A151" s="92">
        <f>IF(F151&lt;&gt;"",1+MAX($A$6:A150),"")</f>
        <v>114</v>
      </c>
      <c r="B151" s="94" t="s">
        <v>23</v>
      </c>
      <c r="C151" s="94"/>
      <c r="D151" s="102"/>
      <c r="E151" s="106" t="s">
        <v>88</v>
      </c>
      <c r="F151" s="96">
        <f>8.7*21</f>
        <v>182.7</v>
      </c>
      <c r="G151" s="104">
        <v>0.05</v>
      </c>
      <c r="H151" s="98">
        <f t="shared" si="24"/>
        <v>191.83500000000001</v>
      </c>
      <c r="I151" s="93" t="s">
        <v>21</v>
      </c>
      <c r="J151" s="99">
        <f t="shared" si="25"/>
        <v>0</v>
      </c>
      <c r="K151" s="105">
        <f t="shared" si="26"/>
        <v>0</v>
      </c>
      <c r="L151" s="101"/>
      <c r="M151" s="27"/>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c r="AZ151" s="28"/>
      <c r="BA151" s="28"/>
      <c r="BB151" s="28"/>
      <c r="BC151" s="28"/>
      <c r="BD151" s="28"/>
    </row>
    <row r="152" spans="1:56" x14ac:dyDescent="0.2">
      <c r="A152" s="92" t="str">
        <f>IF(F152&lt;&gt;"",1+MAX($A$6:A151),"")</f>
        <v/>
      </c>
      <c r="B152" s="94"/>
      <c r="C152" s="94"/>
      <c r="D152" s="94"/>
      <c r="E152" s="106"/>
      <c r="F152" s="96"/>
      <c r="G152" s="104"/>
      <c r="H152" s="98"/>
      <c r="I152" s="93"/>
      <c r="J152" s="99"/>
      <c r="K152" s="105"/>
      <c r="L152" s="101"/>
    </row>
    <row r="153" spans="1:56" s="14" customFormat="1" x14ac:dyDescent="0.2">
      <c r="A153" s="92" t="str">
        <f>IF(F153&lt;&gt;"",1+MAX($A$6:A152),"")</f>
        <v/>
      </c>
      <c r="B153" s="94"/>
      <c r="C153" s="94"/>
      <c r="D153" s="102"/>
      <c r="E153" s="103" t="s">
        <v>89</v>
      </c>
      <c r="F153" s="96"/>
      <c r="G153" s="104"/>
      <c r="H153" s="98"/>
      <c r="I153" s="93"/>
      <c r="J153" s="99"/>
      <c r="K153" s="105"/>
      <c r="L153" s="101"/>
      <c r="M153" s="27"/>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c r="AP153" s="28"/>
      <c r="AQ153" s="28"/>
      <c r="AR153" s="28"/>
      <c r="AS153" s="28"/>
      <c r="AT153" s="28"/>
      <c r="AU153" s="28"/>
      <c r="AV153" s="28"/>
      <c r="AW153" s="28"/>
      <c r="AX153" s="28"/>
      <c r="AY153" s="28"/>
      <c r="AZ153" s="28"/>
      <c r="BA153" s="28"/>
      <c r="BB153" s="28"/>
      <c r="BC153" s="28"/>
      <c r="BD153" s="28"/>
    </row>
    <row r="154" spans="1:56" s="14" customFormat="1" x14ac:dyDescent="0.2">
      <c r="A154" s="92">
        <f>IF(F154&lt;&gt;"",1+MAX($A$6:A153),"")</f>
        <v>115</v>
      </c>
      <c r="B154" s="94" t="s">
        <v>23</v>
      </c>
      <c r="C154" s="94"/>
      <c r="D154" s="102"/>
      <c r="E154" s="106" t="s">
        <v>90</v>
      </c>
      <c r="F154" s="96">
        <f>(399.1*2)*23.34</f>
        <v>18629.988000000001</v>
      </c>
      <c r="G154" s="104">
        <v>0.05</v>
      </c>
      <c r="H154" s="98">
        <f>F154*(1+G154)</f>
        <v>19561.487400000002</v>
      </c>
      <c r="I154" s="93" t="s">
        <v>21</v>
      </c>
      <c r="J154" s="99">
        <f>J$10</f>
        <v>0</v>
      </c>
      <c r="K154" s="105">
        <f>J154*H154</f>
        <v>0</v>
      </c>
      <c r="L154" s="101"/>
      <c r="M154" s="27"/>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c r="AP154" s="28"/>
      <c r="AQ154" s="28"/>
      <c r="AR154" s="28"/>
      <c r="AS154" s="28"/>
      <c r="AT154" s="28"/>
      <c r="AU154" s="28"/>
      <c r="AV154" s="28"/>
      <c r="AW154" s="28"/>
      <c r="AX154" s="28"/>
      <c r="AY154" s="28"/>
      <c r="AZ154" s="28"/>
      <c r="BA154" s="28"/>
      <c r="BB154" s="28"/>
      <c r="BC154" s="28"/>
      <c r="BD154" s="28"/>
    </row>
    <row r="155" spans="1:56" s="14" customFormat="1" x14ac:dyDescent="0.2">
      <c r="A155" s="92">
        <f>IF(F155&lt;&gt;"",1+MAX($A$6:A154),"")</f>
        <v>116</v>
      </c>
      <c r="B155" s="94" t="s">
        <v>23</v>
      </c>
      <c r="C155" s="94"/>
      <c r="D155" s="102"/>
      <c r="E155" s="106" t="s">
        <v>91</v>
      </c>
      <c r="F155" s="96">
        <f>(1674.7)*27.59</f>
        <v>46204.972999999998</v>
      </c>
      <c r="G155" s="104">
        <v>0.05</v>
      </c>
      <c r="H155" s="98">
        <f>F155*(1+G155)</f>
        <v>48515.221649999999</v>
      </c>
      <c r="I155" s="93" t="s">
        <v>21</v>
      </c>
      <c r="J155" s="99">
        <f>J$10</f>
        <v>0</v>
      </c>
      <c r="K155" s="105">
        <f>J155*H155</f>
        <v>0</v>
      </c>
      <c r="L155" s="101"/>
      <c r="M155" s="27"/>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c r="AP155" s="28"/>
      <c r="AQ155" s="28"/>
      <c r="AR155" s="28"/>
      <c r="AS155" s="28"/>
      <c r="AT155" s="28"/>
      <c r="AU155" s="28"/>
      <c r="AV155" s="28"/>
      <c r="AW155" s="28"/>
      <c r="AX155" s="28"/>
      <c r="AY155" s="28"/>
      <c r="AZ155" s="28"/>
      <c r="BA155" s="28"/>
      <c r="BB155" s="28"/>
      <c r="BC155" s="28"/>
      <c r="BD155" s="28"/>
    </row>
    <row r="156" spans="1:56" s="14" customFormat="1" x14ac:dyDescent="0.2">
      <c r="A156" s="92" t="str">
        <f>IF(F156&lt;&gt;"",1+MAX($A$6:A155),"")</f>
        <v/>
      </c>
      <c r="B156" s="94"/>
      <c r="C156" s="94"/>
      <c r="D156" s="102"/>
      <c r="E156" s="106"/>
      <c r="F156" s="96"/>
      <c r="G156" s="104"/>
      <c r="H156" s="98"/>
      <c r="I156" s="93"/>
      <c r="J156" s="99"/>
      <c r="K156" s="105"/>
      <c r="L156" s="101"/>
      <c r="M156" s="27"/>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c r="AP156" s="28"/>
      <c r="AQ156" s="28"/>
      <c r="AR156" s="28"/>
      <c r="AS156" s="28"/>
      <c r="AT156" s="28"/>
      <c r="AU156" s="28"/>
      <c r="AV156" s="28"/>
      <c r="AW156" s="28"/>
      <c r="AX156" s="28"/>
      <c r="AY156" s="28"/>
      <c r="AZ156" s="28"/>
      <c r="BA156" s="28"/>
      <c r="BB156" s="28"/>
      <c r="BC156" s="28"/>
      <c r="BD156" s="28"/>
    </row>
    <row r="157" spans="1:56" s="14" customFormat="1" x14ac:dyDescent="0.2">
      <c r="A157" s="92" t="str">
        <f>IF(F157&lt;&gt;"",1+MAX($A$6:A156),"")</f>
        <v/>
      </c>
      <c r="B157" s="94"/>
      <c r="C157" s="94"/>
      <c r="D157" s="102"/>
      <c r="E157" s="103" t="s">
        <v>45</v>
      </c>
      <c r="F157" s="96"/>
      <c r="G157" s="104"/>
      <c r="H157" s="98"/>
      <c r="I157" s="93"/>
      <c r="J157" s="99"/>
      <c r="K157" s="105"/>
      <c r="L157" s="101"/>
      <c r="M157" s="27"/>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row>
    <row r="158" spans="1:56" s="14" customFormat="1" x14ac:dyDescent="0.2">
      <c r="A158" s="92">
        <f>IF(F158&lt;&gt;"",1+MAX($A$6:A157),"")</f>
        <v>117</v>
      </c>
      <c r="B158" s="94" t="s">
        <v>23</v>
      </c>
      <c r="C158" s="94" t="s">
        <v>52</v>
      </c>
      <c r="D158" s="102"/>
      <c r="E158" s="106" t="s">
        <v>54</v>
      </c>
      <c r="F158" s="96">
        <f>14397</f>
        <v>14397</v>
      </c>
      <c r="G158" s="104">
        <v>0.05</v>
      </c>
      <c r="H158" s="98">
        <f t="shared" ref="H158:H163" si="27">F158*(1+G158)</f>
        <v>15116.85</v>
      </c>
      <c r="I158" s="93" t="s">
        <v>46</v>
      </c>
      <c r="J158" s="99">
        <v>0</v>
      </c>
      <c r="K158" s="105">
        <f t="shared" ref="K158:K163" si="28">J158*H158</f>
        <v>0</v>
      </c>
      <c r="L158" s="101"/>
      <c r="M158" s="27"/>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c r="AP158" s="28"/>
      <c r="AQ158" s="28"/>
      <c r="AR158" s="28"/>
      <c r="AS158" s="28"/>
      <c r="AT158" s="28"/>
      <c r="AU158" s="28"/>
      <c r="AV158" s="28"/>
      <c r="AW158" s="28"/>
      <c r="AX158" s="28"/>
      <c r="AY158" s="28"/>
      <c r="AZ158" s="28"/>
      <c r="BA158" s="28"/>
      <c r="BB158" s="28"/>
      <c r="BC158" s="28"/>
      <c r="BD158" s="28"/>
    </row>
    <row r="159" spans="1:56" s="14" customFormat="1" x14ac:dyDescent="0.2">
      <c r="A159" s="92">
        <f>IF(F159&lt;&gt;"",1+MAX($A$6:A158),"")</f>
        <v>118</v>
      </c>
      <c r="B159" s="94" t="s">
        <v>23</v>
      </c>
      <c r="C159" s="94" t="s">
        <v>52</v>
      </c>
      <c r="D159" s="102"/>
      <c r="E159" s="106" t="s">
        <v>55</v>
      </c>
      <c r="F159" s="96">
        <v>1240</v>
      </c>
      <c r="G159" s="104">
        <v>0.05</v>
      </c>
      <c r="H159" s="98">
        <f t="shared" si="27"/>
        <v>1302</v>
      </c>
      <c r="I159" s="93" t="s">
        <v>46</v>
      </c>
      <c r="J159" s="99">
        <v>0</v>
      </c>
      <c r="K159" s="105">
        <f t="shared" si="28"/>
        <v>0</v>
      </c>
      <c r="L159" s="101"/>
      <c r="M159" s="27"/>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c r="AP159" s="28"/>
      <c r="AQ159" s="28"/>
      <c r="AR159" s="28"/>
      <c r="AS159" s="28"/>
      <c r="AT159" s="28"/>
      <c r="AU159" s="28"/>
      <c r="AV159" s="28"/>
      <c r="AW159" s="28"/>
      <c r="AX159" s="28"/>
      <c r="AY159" s="28"/>
      <c r="AZ159" s="28"/>
      <c r="BA159" s="28"/>
      <c r="BB159" s="28"/>
      <c r="BC159" s="28"/>
      <c r="BD159" s="28"/>
    </row>
    <row r="160" spans="1:56" s="14" customFormat="1" x14ac:dyDescent="0.2">
      <c r="A160" s="92">
        <f>IF(F160&lt;&gt;"",1+MAX($A$6:A159),"")</f>
        <v>119</v>
      </c>
      <c r="B160" s="94" t="s">
        <v>23</v>
      </c>
      <c r="C160" s="94"/>
      <c r="D160" s="102"/>
      <c r="E160" s="106" t="s">
        <v>58</v>
      </c>
      <c r="F160" s="96">
        <f>70.1</f>
        <v>70.099999999999994</v>
      </c>
      <c r="G160" s="104">
        <v>0.05</v>
      </c>
      <c r="H160" s="98">
        <f t="shared" si="27"/>
        <v>73.605000000000004</v>
      </c>
      <c r="I160" s="93" t="s">
        <v>46</v>
      </c>
      <c r="J160" s="99">
        <v>0</v>
      </c>
      <c r="K160" s="105">
        <f t="shared" si="28"/>
        <v>0</v>
      </c>
      <c r="L160" s="101"/>
      <c r="M160" s="27"/>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c r="AP160" s="28"/>
      <c r="AQ160" s="28"/>
      <c r="AR160" s="28"/>
      <c r="AS160" s="28"/>
      <c r="AT160" s="28"/>
      <c r="AU160" s="28"/>
      <c r="AV160" s="28"/>
      <c r="AW160" s="28"/>
      <c r="AX160" s="28"/>
      <c r="AY160" s="28"/>
      <c r="AZ160" s="28"/>
      <c r="BA160" s="28"/>
      <c r="BB160" s="28"/>
      <c r="BC160" s="28"/>
      <c r="BD160" s="28"/>
    </row>
    <row r="161" spans="1:56" s="14" customFormat="1" x14ac:dyDescent="0.2">
      <c r="A161" s="92">
        <f>IF(F161&lt;&gt;"",1+MAX($A$6:A160),"")</f>
        <v>120</v>
      </c>
      <c r="B161" s="94" t="s">
        <v>23</v>
      </c>
      <c r="C161" s="94" t="s">
        <v>52</v>
      </c>
      <c r="D161" s="102"/>
      <c r="E161" s="106" t="s">
        <v>61</v>
      </c>
      <c r="F161" s="96">
        <v>9593.6</v>
      </c>
      <c r="G161" s="104">
        <v>0.05</v>
      </c>
      <c r="H161" s="98">
        <f t="shared" si="27"/>
        <v>10073.280000000001</v>
      </c>
      <c r="I161" s="93" t="s">
        <v>46</v>
      </c>
      <c r="J161" s="99">
        <v>0</v>
      </c>
      <c r="K161" s="105">
        <f t="shared" si="28"/>
        <v>0</v>
      </c>
      <c r="L161" s="101"/>
      <c r="M161" s="27"/>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c r="AP161" s="28"/>
      <c r="AQ161" s="28"/>
      <c r="AR161" s="28"/>
      <c r="AS161" s="28"/>
      <c r="AT161" s="28"/>
      <c r="AU161" s="28"/>
      <c r="AV161" s="28"/>
      <c r="AW161" s="28"/>
      <c r="AX161" s="28"/>
      <c r="AY161" s="28"/>
      <c r="AZ161" s="28"/>
      <c r="BA161" s="28"/>
      <c r="BB161" s="28"/>
      <c r="BC161" s="28"/>
      <c r="BD161" s="28"/>
    </row>
    <row r="162" spans="1:56" s="14" customFormat="1" x14ac:dyDescent="0.2">
      <c r="A162" s="92">
        <f>IF(F162&lt;&gt;"",1+MAX($A$6:A161),"")</f>
        <v>121</v>
      </c>
      <c r="B162" s="94" t="s">
        <v>23</v>
      </c>
      <c r="C162" s="94" t="s">
        <v>52</v>
      </c>
      <c r="D162" s="102"/>
      <c r="E162" s="106" t="s">
        <v>64</v>
      </c>
      <c r="F162" s="96">
        <v>4312</v>
      </c>
      <c r="G162" s="104">
        <v>0.05</v>
      </c>
      <c r="H162" s="98">
        <f t="shared" si="27"/>
        <v>4527.6000000000004</v>
      </c>
      <c r="I162" s="93" t="s">
        <v>46</v>
      </c>
      <c r="J162" s="99">
        <v>0</v>
      </c>
      <c r="K162" s="105">
        <f t="shared" si="28"/>
        <v>0</v>
      </c>
      <c r="L162" s="101"/>
      <c r="M162" s="27"/>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c r="AP162" s="28"/>
      <c r="AQ162" s="28"/>
      <c r="AR162" s="28"/>
      <c r="AS162" s="28"/>
      <c r="AT162" s="28"/>
      <c r="AU162" s="28"/>
      <c r="AV162" s="28"/>
      <c r="AW162" s="28"/>
      <c r="AX162" s="28"/>
      <c r="AY162" s="28"/>
      <c r="AZ162" s="28"/>
      <c r="BA162" s="28"/>
      <c r="BB162" s="28"/>
      <c r="BC162" s="28"/>
      <c r="BD162" s="28"/>
    </row>
    <row r="163" spans="1:56" s="14" customFormat="1" x14ac:dyDescent="0.2">
      <c r="A163" s="92">
        <f>IF(F163&lt;&gt;"",1+MAX($A$6:A162),"")</f>
        <v>122</v>
      </c>
      <c r="B163" s="94" t="s">
        <v>23</v>
      </c>
      <c r="C163" s="94" t="s">
        <v>52</v>
      </c>
      <c r="D163" s="102"/>
      <c r="E163" s="106" t="s">
        <v>65</v>
      </c>
      <c r="F163" s="96">
        <v>593.5</v>
      </c>
      <c r="G163" s="104">
        <v>0.05</v>
      </c>
      <c r="H163" s="98">
        <f t="shared" si="27"/>
        <v>623.17500000000007</v>
      </c>
      <c r="I163" s="93" t="s">
        <v>46</v>
      </c>
      <c r="J163" s="99">
        <v>0</v>
      </c>
      <c r="K163" s="105">
        <f t="shared" si="28"/>
        <v>0</v>
      </c>
      <c r="L163" s="101"/>
      <c r="M163" s="27"/>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c r="AP163" s="28"/>
      <c r="AQ163" s="28"/>
      <c r="AR163" s="28"/>
      <c r="AS163" s="28"/>
      <c r="AT163" s="28"/>
      <c r="AU163" s="28"/>
      <c r="AV163" s="28"/>
      <c r="AW163" s="28"/>
      <c r="AX163" s="28"/>
      <c r="AY163" s="28"/>
      <c r="AZ163" s="28"/>
      <c r="BA163" s="28"/>
      <c r="BB163" s="28"/>
      <c r="BC163" s="28"/>
      <c r="BD163" s="28"/>
    </row>
    <row r="164" spans="1:56" x14ac:dyDescent="0.2">
      <c r="A164" s="92" t="str">
        <f>IF(F164&lt;&gt;"",1+MAX($A$6:A163),"")</f>
        <v/>
      </c>
      <c r="B164" s="93"/>
      <c r="C164" s="94"/>
      <c r="D164" s="94"/>
      <c r="E164" s="95" t="s">
        <v>31</v>
      </c>
      <c r="F164" s="96"/>
      <c r="G164" s="97"/>
      <c r="H164" s="98"/>
      <c r="I164" s="93"/>
      <c r="J164" s="99"/>
      <c r="K164" s="100"/>
      <c r="L164" s="101"/>
    </row>
    <row r="165" spans="1:56" s="14" customFormat="1" x14ac:dyDescent="0.2">
      <c r="A165" s="92" t="str">
        <f>IF(F165&lt;&gt;"",1+MAX($A$6:A164),"")</f>
        <v/>
      </c>
      <c r="B165" s="94"/>
      <c r="C165" s="94"/>
      <c r="D165" s="102"/>
      <c r="E165" s="103" t="s">
        <v>223</v>
      </c>
      <c r="F165" s="96"/>
      <c r="G165" s="104"/>
      <c r="H165" s="98"/>
      <c r="I165" s="93"/>
      <c r="J165" s="99"/>
      <c r="K165" s="105"/>
      <c r="L165" s="101"/>
      <c r="M165" s="27"/>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c r="AP165" s="28"/>
      <c r="AQ165" s="28"/>
      <c r="AR165" s="28"/>
      <c r="AS165" s="28"/>
      <c r="AT165" s="28"/>
      <c r="AU165" s="28"/>
      <c r="AV165" s="28"/>
      <c r="AW165" s="28"/>
      <c r="AX165" s="28"/>
      <c r="AY165" s="28"/>
      <c r="AZ165" s="28"/>
      <c r="BA165" s="28"/>
      <c r="BB165" s="28"/>
      <c r="BC165" s="28"/>
      <c r="BD165" s="28"/>
    </row>
    <row r="166" spans="1:56" s="14" customFormat="1" ht="47.25" x14ac:dyDescent="0.2">
      <c r="A166" s="92">
        <f>IF(F166&lt;&gt;"",1+MAX($A$6:A165),"")</f>
        <v>123</v>
      </c>
      <c r="B166" s="94" t="s">
        <v>66</v>
      </c>
      <c r="C166" s="94"/>
      <c r="D166" s="102"/>
      <c r="E166" s="107" t="s">
        <v>238</v>
      </c>
      <c r="F166" s="96">
        <f>4*37.5*122</f>
        <v>18300</v>
      </c>
      <c r="G166" s="104">
        <v>0.05</v>
      </c>
      <c r="H166" s="98">
        <f>F166*(1+G166)</f>
        <v>19215</v>
      </c>
      <c r="I166" s="93" t="s">
        <v>21</v>
      </c>
      <c r="J166" s="99">
        <f>J$10</f>
        <v>0</v>
      </c>
      <c r="K166" s="105">
        <f>J166*H166</f>
        <v>0</v>
      </c>
      <c r="L166" s="101"/>
      <c r="M166" s="27"/>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c r="AZ166" s="28"/>
      <c r="BA166" s="28"/>
      <c r="BB166" s="28"/>
      <c r="BC166" s="28"/>
      <c r="BD166" s="28"/>
    </row>
    <row r="167" spans="1:56" ht="47.25" x14ac:dyDescent="0.2">
      <c r="A167" s="92">
        <f>IF(F167&lt;&gt;"",1+MAX($A$6:A166),"")</f>
        <v>124</v>
      </c>
      <c r="B167" s="94" t="s">
        <v>66</v>
      </c>
      <c r="C167" s="94"/>
      <c r="D167" s="94"/>
      <c r="E167" s="107" t="s">
        <v>239</v>
      </c>
      <c r="F167" s="96">
        <f>7*37.5*111</f>
        <v>29137.5</v>
      </c>
      <c r="G167" s="104">
        <v>0.05</v>
      </c>
      <c r="H167" s="98">
        <f>F167*(1+G167)</f>
        <v>30594.375</v>
      </c>
      <c r="I167" s="93" t="s">
        <v>21</v>
      </c>
      <c r="J167" s="99">
        <f>J$10</f>
        <v>0</v>
      </c>
      <c r="K167" s="105">
        <f>J167*H167</f>
        <v>0</v>
      </c>
      <c r="L167" s="101"/>
    </row>
    <row r="168" spans="1:56" ht="47.25" x14ac:dyDescent="0.2">
      <c r="A168" s="92">
        <f>IF(F168&lt;&gt;"",1+MAX($A$6:A167),"")</f>
        <v>125</v>
      </c>
      <c r="B168" s="94" t="s">
        <v>66</v>
      </c>
      <c r="C168" s="94"/>
      <c r="D168" s="94"/>
      <c r="E168" s="107" t="s">
        <v>241</v>
      </c>
      <c r="F168" s="96">
        <f>2*37.5*93</f>
        <v>6975</v>
      </c>
      <c r="G168" s="104">
        <v>0.05</v>
      </c>
      <c r="H168" s="98">
        <f>F168*(1+G168)</f>
        <v>7323.75</v>
      </c>
      <c r="I168" s="93" t="s">
        <v>21</v>
      </c>
      <c r="J168" s="99">
        <f>J$10</f>
        <v>0</v>
      </c>
      <c r="K168" s="105">
        <f>J168*H168</f>
        <v>0</v>
      </c>
      <c r="L168" s="101"/>
    </row>
    <row r="169" spans="1:56" ht="47.25" x14ac:dyDescent="0.2">
      <c r="A169" s="92">
        <f>IF(F169&lt;&gt;"",1+MAX($A$6:A168),"")</f>
        <v>126</v>
      </c>
      <c r="B169" s="94" t="s">
        <v>66</v>
      </c>
      <c r="C169" s="94"/>
      <c r="D169" s="94"/>
      <c r="E169" s="107" t="s">
        <v>240</v>
      </c>
      <c r="F169" s="96">
        <f>3*37.5*73</f>
        <v>8212.5</v>
      </c>
      <c r="G169" s="104">
        <v>0.05</v>
      </c>
      <c r="H169" s="98">
        <f>F169*(1+G169)</f>
        <v>8623.125</v>
      </c>
      <c r="I169" s="93" t="s">
        <v>21</v>
      </c>
      <c r="J169" s="99">
        <f>J$10</f>
        <v>0</v>
      </c>
      <c r="K169" s="105">
        <f>J169*H169</f>
        <v>0</v>
      </c>
      <c r="L169" s="101"/>
    </row>
    <row r="170" spans="1:56" s="14" customFormat="1" x14ac:dyDescent="0.2">
      <c r="A170" s="92" t="str">
        <f>IF(F170&lt;&gt;"",1+MAX($A$6:A169),"")</f>
        <v/>
      </c>
      <c r="B170" s="94"/>
      <c r="C170" s="94"/>
      <c r="D170" s="102"/>
      <c r="E170" s="103" t="s">
        <v>22</v>
      </c>
      <c r="F170" s="96"/>
      <c r="G170" s="104"/>
      <c r="H170" s="98"/>
      <c r="I170" s="93"/>
      <c r="J170" s="99"/>
      <c r="K170" s="105"/>
      <c r="L170" s="101"/>
      <c r="M170" s="27"/>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c r="AP170" s="28"/>
      <c r="AQ170" s="28"/>
      <c r="AR170" s="28"/>
      <c r="AS170" s="28"/>
      <c r="AT170" s="28"/>
      <c r="AU170" s="28"/>
      <c r="AV170" s="28"/>
      <c r="AW170" s="28"/>
      <c r="AX170" s="28"/>
      <c r="AY170" s="28"/>
      <c r="AZ170" s="28"/>
      <c r="BA170" s="28"/>
      <c r="BB170" s="28"/>
      <c r="BC170" s="28"/>
      <c r="BD170" s="28"/>
    </row>
    <row r="171" spans="1:56" s="14" customFormat="1" x14ac:dyDescent="0.2">
      <c r="A171" s="92">
        <f>IF(F171&lt;&gt;"",1+MAX($A$6:A170),"")</f>
        <v>127</v>
      </c>
      <c r="B171" s="94" t="s">
        <v>66</v>
      </c>
      <c r="C171" s="94"/>
      <c r="D171" s="102"/>
      <c r="E171" s="106" t="s">
        <v>67</v>
      </c>
      <c r="F171" s="96">
        <f>(53.8+33.5)*62</f>
        <v>5412.5999999999995</v>
      </c>
      <c r="G171" s="104">
        <v>0.05</v>
      </c>
      <c r="H171" s="98">
        <f>F171*(1+G171)</f>
        <v>5683.23</v>
      </c>
      <c r="I171" s="93" t="s">
        <v>21</v>
      </c>
      <c r="J171" s="99">
        <f>J$10</f>
        <v>0</v>
      </c>
      <c r="K171" s="105">
        <f>J171*H171</f>
        <v>0</v>
      </c>
      <c r="L171" s="101"/>
      <c r="M171" s="27"/>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c r="AP171" s="28"/>
      <c r="AQ171" s="28"/>
      <c r="AR171" s="28"/>
      <c r="AS171" s="28"/>
      <c r="AT171" s="28"/>
      <c r="AU171" s="28"/>
      <c r="AV171" s="28"/>
      <c r="AW171" s="28"/>
      <c r="AX171" s="28"/>
      <c r="AY171" s="28"/>
      <c r="AZ171" s="28"/>
      <c r="BA171" s="28"/>
      <c r="BB171" s="28"/>
      <c r="BC171" s="28"/>
      <c r="BD171" s="28"/>
    </row>
    <row r="172" spans="1:56" s="14" customFormat="1" x14ac:dyDescent="0.2">
      <c r="A172" s="92">
        <f>IF(F172&lt;&gt;"",1+MAX($A$6:A171),"")</f>
        <v>128</v>
      </c>
      <c r="B172" s="94" t="s">
        <v>66</v>
      </c>
      <c r="C172" s="94"/>
      <c r="D172" s="102"/>
      <c r="E172" s="106" t="s">
        <v>68</v>
      </c>
      <c r="F172" s="96">
        <f>(94.6+147.4)*50</f>
        <v>12100</v>
      </c>
      <c r="G172" s="104">
        <v>0.05</v>
      </c>
      <c r="H172" s="98">
        <f>F172*(1+G172)</f>
        <v>12705</v>
      </c>
      <c r="I172" s="93" t="s">
        <v>21</v>
      </c>
      <c r="J172" s="99">
        <f>J$10</f>
        <v>0</v>
      </c>
      <c r="K172" s="105">
        <f>J172*H172</f>
        <v>0</v>
      </c>
      <c r="L172" s="101"/>
      <c r="M172" s="27"/>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c r="AP172" s="28"/>
      <c r="AQ172" s="28"/>
      <c r="AR172" s="28"/>
      <c r="AS172" s="28"/>
      <c r="AT172" s="28"/>
      <c r="AU172" s="28"/>
      <c r="AV172" s="28"/>
      <c r="AW172" s="28"/>
      <c r="AX172" s="28"/>
      <c r="AY172" s="28"/>
      <c r="AZ172" s="28"/>
      <c r="BA172" s="28"/>
      <c r="BB172" s="28"/>
      <c r="BC172" s="28"/>
      <c r="BD172" s="28"/>
    </row>
    <row r="173" spans="1:56" s="14" customFormat="1" x14ac:dyDescent="0.2">
      <c r="A173" s="92">
        <f>IF(F173&lt;&gt;"",1+MAX($A$6:A172),"")</f>
        <v>129</v>
      </c>
      <c r="B173" s="94" t="s">
        <v>66</v>
      </c>
      <c r="C173" s="94"/>
      <c r="D173" s="102"/>
      <c r="E173" s="106" t="s">
        <v>69</v>
      </c>
      <c r="F173" s="96">
        <f>(15+43)*35</f>
        <v>2030</v>
      </c>
      <c r="G173" s="104">
        <v>0.05</v>
      </c>
      <c r="H173" s="98">
        <f>F173*(1+G173)</f>
        <v>2131.5</v>
      </c>
      <c r="I173" s="93" t="s">
        <v>21</v>
      </c>
      <c r="J173" s="99">
        <f>J$10</f>
        <v>0</v>
      </c>
      <c r="K173" s="105">
        <f>J173*H173</f>
        <v>0</v>
      </c>
      <c r="L173" s="101"/>
      <c r="M173" s="27"/>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c r="AP173" s="28"/>
      <c r="AQ173" s="28"/>
      <c r="AR173" s="28"/>
      <c r="AS173" s="28"/>
      <c r="AT173" s="28"/>
      <c r="AU173" s="28"/>
      <c r="AV173" s="28"/>
      <c r="AW173" s="28"/>
      <c r="AX173" s="28"/>
      <c r="AY173" s="28"/>
      <c r="AZ173" s="28"/>
      <c r="BA173" s="28"/>
      <c r="BB173" s="28"/>
      <c r="BC173" s="28"/>
      <c r="BD173" s="28"/>
    </row>
    <row r="174" spans="1:56" s="14" customFormat="1" x14ac:dyDescent="0.2">
      <c r="A174" s="92">
        <f>IF(F174&lt;&gt;"",1+MAX($A$6:A166),"")</f>
        <v>124</v>
      </c>
      <c r="B174" s="94" t="s">
        <v>66</v>
      </c>
      <c r="C174" s="94"/>
      <c r="D174" s="102"/>
      <c r="E174" s="106" t="s">
        <v>70</v>
      </c>
      <c r="F174" s="96">
        <f>25.4*57</f>
        <v>1447.8</v>
      </c>
      <c r="G174" s="104">
        <v>0.05</v>
      </c>
      <c r="H174" s="98">
        <f>F174*(1+G174)</f>
        <v>1520.19</v>
      </c>
      <c r="I174" s="93" t="s">
        <v>21</v>
      </c>
      <c r="J174" s="99">
        <f>J$10</f>
        <v>0</v>
      </c>
      <c r="K174" s="105">
        <f>J174*H174</f>
        <v>0</v>
      </c>
      <c r="L174" s="101"/>
      <c r="M174" s="27"/>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c r="AP174" s="28"/>
      <c r="AQ174" s="28"/>
      <c r="AR174" s="28"/>
      <c r="AS174" s="28"/>
      <c r="AT174" s="28"/>
      <c r="AU174" s="28"/>
      <c r="AV174" s="28"/>
      <c r="AW174" s="28"/>
      <c r="AX174" s="28"/>
      <c r="AY174" s="28"/>
      <c r="AZ174" s="28"/>
      <c r="BA174" s="28"/>
      <c r="BB174" s="28"/>
      <c r="BC174" s="28"/>
      <c r="BD174" s="28"/>
    </row>
    <row r="175" spans="1:56" s="14" customFormat="1" x14ac:dyDescent="0.2">
      <c r="A175" s="92">
        <f>IF(F175&lt;&gt;"",1+MAX($A$6:A174),"")</f>
        <v>130</v>
      </c>
      <c r="B175" s="94" t="s">
        <v>66</v>
      </c>
      <c r="C175" s="94"/>
      <c r="D175" s="102"/>
      <c r="E175" s="106" t="s">
        <v>71</v>
      </c>
      <c r="F175" s="96">
        <f>33.3*93</f>
        <v>3096.8999999999996</v>
      </c>
      <c r="G175" s="104">
        <v>0.05</v>
      </c>
      <c r="H175" s="98">
        <f>F175*(1+G175)</f>
        <v>3251.7449999999999</v>
      </c>
      <c r="I175" s="93" t="s">
        <v>21</v>
      </c>
      <c r="J175" s="99">
        <f>J$10</f>
        <v>0</v>
      </c>
      <c r="K175" s="105">
        <f>J175*H175</f>
        <v>0</v>
      </c>
      <c r="L175" s="101"/>
      <c r="M175" s="27"/>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c r="AP175" s="28"/>
      <c r="AQ175" s="28"/>
      <c r="AR175" s="28"/>
      <c r="AS175" s="28"/>
      <c r="AT175" s="28"/>
      <c r="AU175" s="28"/>
      <c r="AV175" s="28"/>
      <c r="AW175" s="28"/>
      <c r="AX175" s="28"/>
      <c r="AY175" s="28"/>
      <c r="AZ175" s="28"/>
      <c r="BA175" s="28"/>
      <c r="BB175" s="28"/>
      <c r="BC175" s="28"/>
      <c r="BD175" s="28"/>
    </row>
    <row r="176" spans="1:56" x14ac:dyDescent="0.2">
      <c r="A176" s="92" t="str">
        <f>IF(F176&lt;&gt;"",1+MAX($A$6:A175),"")</f>
        <v/>
      </c>
      <c r="B176" s="94"/>
      <c r="C176" s="94"/>
      <c r="D176" s="94"/>
      <c r="E176" s="106"/>
      <c r="F176" s="96"/>
      <c r="G176" s="104"/>
      <c r="H176" s="98"/>
      <c r="I176" s="93"/>
      <c r="J176" s="99"/>
      <c r="K176" s="105"/>
      <c r="L176" s="101"/>
    </row>
    <row r="177" spans="1:56" s="14" customFormat="1" x14ac:dyDescent="0.2">
      <c r="A177" s="92" t="str">
        <f>IF(F177&lt;&gt;"",1+MAX($A$6:A176),"")</f>
        <v/>
      </c>
      <c r="B177" s="94"/>
      <c r="C177" s="94"/>
      <c r="D177" s="102"/>
      <c r="E177" s="103" t="s">
        <v>72</v>
      </c>
      <c r="F177" s="96"/>
      <c r="G177" s="104"/>
      <c r="H177" s="98"/>
      <c r="I177" s="93"/>
      <c r="J177" s="99"/>
      <c r="K177" s="105"/>
      <c r="L177" s="101"/>
      <c r="M177" s="27"/>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c r="AP177" s="28"/>
      <c r="AQ177" s="28"/>
      <c r="AR177" s="28"/>
      <c r="AS177" s="28"/>
      <c r="AT177" s="28"/>
      <c r="AU177" s="28"/>
      <c r="AV177" s="28"/>
      <c r="AW177" s="28"/>
      <c r="AX177" s="28"/>
      <c r="AY177" s="28"/>
      <c r="AZ177" s="28"/>
      <c r="BA177" s="28"/>
      <c r="BB177" s="28"/>
      <c r="BC177" s="28"/>
      <c r="BD177" s="28"/>
    </row>
    <row r="178" spans="1:56" s="14" customFormat="1" x14ac:dyDescent="0.2">
      <c r="A178" s="92">
        <f>IF(F178&lt;&gt;"",1+MAX($A$6:A177),"")</f>
        <v>131</v>
      </c>
      <c r="B178" s="94" t="s">
        <v>66</v>
      </c>
      <c r="C178" s="94"/>
      <c r="D178" s="102"/>
      <c r="E178" s="106" t="s">
        <v>73</v>
      </c>
      <c r="F178" s="96">
        <f>20*28*14.83</f>
        <v>8304.7999999999993</v>
      </c>
      <c r="G178" s="104">
        <v>0.05</v>
      </c>
      <c r="H178" s="98">
        <f>F178*(1+G178)</f>
        <v>8720.0399999999991</v>
      </c>
      <c r="I178" s="93" t="s">
        <v>21</v>
      </c>
      <c r="J178" s="99">
        <f>J$10</f>
        <v>0</v>
      </c>
      <c r="K178" s="105">
        <f>J178*H178</f>
        <v>0</v>
      </c>
      <c r="L178" s="101"/>
      <c r="M178" s="27"/>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28"/>
      <c r="AS178" s="28"/>
      <c r="AT178" s="28"/>
      <c r="AU178" s="28"/>
      <c r="AV178" s="28"/>
      <c r="AW178" s="28"/>
      <c r="AX178" s="28"/>
      <c r="AY178" s="28"/>
      <c r="AZ178" s="28"/>
      <c r="BA178" s="28"/>
      <c r="BB178" s="28"/>
      <c r="BC178" s="28"/>
      <c r="BD178" s="28"/>
    </row>
    <row r="179" spans="1:56" x14ac:dyDescent="0.2">
      <c r="A179" s="92" t="str">
        <f>IF(F179&lt;&gt;"",1+MAX($A$6:A178),"")</f>
        <v/>
      </c>
      <c r="B179" s="94"/>
      <c r="C179" s="94"/>
      <c r="D179" s="94"/>
      <c r="E179" s="106"/>
      <c r="F179" s="96"/>
      <c r="G179" s="104"/>
      <c r="H179" s="98"/>
      <c r="I179" s="93"/>
      <c r="J179" s="99"/>
      <c r="K179" s="105"/>
      <c r="L179" s="101"/>
    </row>
    <row r="180" spans="1:56" s="14" customFormat="1" x14ac:dyDescent="0.2">
      <c r="A180" s="92" t="str">
        <f>IF(F180&lt;&gt;"",1+MAX($A$6:A179),"")</f>
        <v/>
      </c>
      <c r="B180" s="94"/>
      <c r="C180" s="94"/>
      <c r="D180" s="102"/>
      <c r="E180" s="103" t="s">
        <v>37</v>
      </c>
      <c r="F180" s="96"/>
      <c r="G180" s="104"/>
      <c r="H180" s="98"/>
      <c r="I180" s="93"/>
      <c r="J180" s="99"/>
      <c r="K180" s="105"/>
      <c r="L180" s="101"/>
      <c r="M180" s="27"/>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c r="AP180" s="28"/>
      <c r="AQ180" s="28"/>
      <c r="AR180" s="28"/>
      <c r="AS180" s="28"/>
      <c r="AT180" s="28"/>
      <c r="AU180" s="28"/>
      <c r="AV180" s="28"/>
      <c r="AW180" s="28"/>
      <c r="AX180" s="28"/>
      <c r="AY180" s="28"/>
      <c r="AZ180" s="28"/>
      <c r="BA180" s="28"/>
      <c r="BB180" s="28"/>
      <c r="BC180" s="28"/>
      <c r="BD180" s="28"/>
    </row>
    <row r="181" spans="1:56" s="14" customFormat="1" ht="31.5" x14ac:dyDescent="0.2">
      <c r="A181" s="92">
        <f>IF(F181&lt;&gt;"",1+MAX($A$6:A180),"")</f>
        <v>132</v>
      </c>
      <c r="B181" s="94" t="s">
        <v>66</v>
      </c>
      <c r="C181" s="94"/>
      <c r="D181" s="102"/>
      <c r="E181" s="106" t="s">
        <v>78</v>
      </c>
      <c r="F181" s="96">
        <v>5</v>
      </c>
      <c r="G181" s="104">
        <v>0</v>
      </c>
      <c r="H181" s="98">
        <f>F181*(1+G181)</f>
        <v>5</v>
      </c>
      <c r="I181" s="93" t="s">
        <v>17</v>
      </c>
      <c r="J181" s="99">
        <v>0</v>
      </c>
      <c r="K181" s="105">
        <f>J181*H181</f>
        <v>0</v>
      </c>
      <c r="L181" s="101"/>
      <c r="M181" s="27"/>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c r="AP181" s="28"/>
      <c r="AQ181" s="28"/>
      <c r="AR181" s="28"/>
      <c r="AS181" s="28"/>
      <c r="AT181" s="28"/>
      <c r="AU181" s="28"/>
      <c r="AV181" s="28"/>
      <c r="AW181" s="28"/>
      <c r="AX181" s="28"/>
      <c r="AY181" s="28"/>
      <c r="AZ181" s="28"/>
      <c r="BA181" s="28"/>
      <c r="BB181" s="28"/>
      <c r="BC181" s="28"/>
      <c r="BD181" s="28"/>
    </row>
    <row r="182" spans="1:56" s="14" customFormat="1" ht="31.5" x14ac:dyDescent="0.2">
      <c r="A182" s="92">
        <f>IF(F182&lt;&gt;"",1+MAX($A$6:A181),"")</f>
        <v>133</v>
      </c>
      <c r="B182" s="94" t="s">
        <v>66</v>
      </c>
      <c r="C182" s="94"/>
      <c r="D182" s="102"/>
      <c r="E182" s="106" t="s">
        <v>79</v>
      </c>
      <c r="F182" s="96">
        <v>11</v>
      </c>
      <c r="G182" s="104">
        <v>0</v>
      </c>
      <c r="H182" s="98">
        <f>F182*(1+G182)</f>
        <v>11</v>
      </c>
      <c r="I182" s="93" t="s">
        <v>17</v>
      </c>
      <c r="J182" s="99">
        <v>0</v>
      </c>
      <c r="K182" s="105">
        <f>J182*H182</f>
        <v>0</v>
      </c>
      <c r="L182" s="101"/>
      <c r="M182" s="27"/>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row>
    <row r="183" spans="1:56" s="14" customFormat="1" x14ac:dyDescent="0.2">
      <c r="A183" s="92">
        <f>IF(F183&lt;&gt;"",1+MAX($A$6:A182),"")</f>
        <v>134</v>
      </c>
      <c r="B183" s="94" t="s">
        <v>66</v>
      </c>
      <c r="C183" s="94"/>
      <c r="D183" s="102"/>
      <c r="E183" s="106" t="s">
        <v>43</v>
      </c>
      <c r="F183" s="96">
        <v>16</v>
      </c>
      <c r="G183" s="104">
        <v>0</v>
      </c>
      <c r="H183" s="98">
        <f>F183*(1+G183)</f>
        <v>16</v>
      </c>
      <c r="I183" s="93" t="s">
        <v>17</v>
      </c>
      <c r="J183" s="99">
        <f>J$39</f>
        <v>0</v>
      </c>
      <c r="K183" s="105">
        <f>J183*H183</f>
        <v>0</v>
      </c>
      <c r="L183" s="101"/>
      <c r="M183" s="27"/>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row>
    <row r="184" spans="1:56" s="14" customFormat="1" x14ac:dyDescent="0.2">
      <c r="A184" s="92">
        <f>IF(F184&lt;&gt;"",1+MAX($A$6:A183),"")</f>
        <v>135</v>
      </c>
      <c r="B184" s="94" t="s">
        <v>66</v>
      </c>
      <c r="C184" s="94" t="s">
        <v>76</v>
      </c>
      <c r="D184" s="102"/>
      <c r="E184" s="106" t="s">
        <v>77</v>
      </c>
      <c r="F184" s="96">
        <f>28</f>
        <v>28</v>
      </c>
      <c r="G184" s="104">
        <v>0</v>
      </c>
      <c r="H184" s="98">
        <f>F184*(1+G184)</f>
        <v>28</v>
      </c>
      <c r="I184" s="93" t="s">
        <v>17</v>
      </c>
      <c r="J184" s="99"/>
      <c r="K184" s="105">
        <f>J184*H184</f>
        <v>0</v>
      </c>
      <c r="L184" s="101"/>
      <c r="M184" s="27"/>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c r="AP184" s="28"/>
      <c r="AQ184" s="28"/>
      <c r="AR184" s="28"/>
      <c r="AS184" s="28"/>
      <c r="AT184" s="28"/>
      <c r="AU184" s="28"/>
      <c r="AV184" s="28"/>
      <c r="AW184" s="28"/>
      <c r="AX184" s="28"/>
      <c r="AY184" s="28"/>
      <c r="AZ184" s="28"/>
      <c r="BA184" s="28"/>
      <c r="BB184" s="28"/>
      <c r="BC184" s="28"/>
      <c r="BD184" s="28"/>
    </row>
    <row r="185" spans="1:56" s="14" customFormat="1" x14ac:dyDescent="0.2">
      <c r="A185" s="92">
        <f>IF(F185&lt;&gt;"",1+MAX($A$6:A184),"")</f>
        <v>136</v>
      </c>
      <c r="B185" s="94" t="s">
        <v>66</v>
      </c>
      <c r="C185" s="94" t="s">
        <v>75</v>
      </c>
      <c r="D185" s="102"/>
      <c r="E185" s="106" t="s">
        <v>74</v>
      </c>
      <c r="F185" s="96">
        <f>28</f>
        <v>28</v>
      </c>
      <c r="G185" s="104">
        <v>0</v>
      </c>
      <c r="H185" s="98">
        <f>F185*(1+G185)</f>
        <v>28</v>
      </c>
      <c r="I185" s="93" t="s">
        <v>17</v>
      </c>
      <c r="J185" s="99">
        <v>0</v>
      </c>
      <c r="K185" s="105">
        <f>J185*H185</f>
        <v>0</v>
      </c>
      <c r="L185" s="101"/>
      <c r="M185" s="27"/>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c r="AP185" s="28"/>
      <c r="AQ185" s="28"/>
      <c r="AR185" s="28"/>
      <c r="AS185" s="28"/>
      <c r="AT185" s="28"/>
      <c r="AU185" s="28"/>
      <c r="AV185" s="28"/>
      <c r="AW185" s="28"/>
      <c r="AX185" s="28"/>
      <c r="AY185" s="28"/>
      <c r="AZ185" s="28"/>
      <c r="BA185" s="28"/>
      <c r="BB185" s="28"/>
      <c r="BC185" s="28"/>
      <c r="BD185" s="28"/>
    </row>
    <row r="186" spans="1:56" x14ac:dyDescent="0.2">
      <c r="A186" s="92" t="str">
        <f>IF(F186&lt;&gt;"",1+MAX($A$6:A185),"")</f>
        <v/>
      </c>
      <c r="B186" s="94"/>
      <c r="C186" s="94"/>
      <c r="D186" s="94"/>
      <c r="E186" s="106"/>
      <c r="F186" s="96"/>
      <c r="G186" s="104"/>
      <c r="H186" s="98"/>
      <c r="I186" s="93"/>
      <c r="J186" s="99"/>
      <c r="K186" s="105"/>
      <c r="L186" s="101"/>
    </row>
    <row r="187" spans="1:56" x14ac:dyDescent="0.2">
      <c r="A187" s="92" t="str">
        <f>IF(F187&lt;&gt;"",1+MAX($A$6:A186),"")</f>
        <v/>
      </c>
      <c r="B187" s="93"/>
      <c r="C187" s="94"/>
      <c r="D187" s="94"/>
      <c r="E187" s="95" t="s">
        <v>122</v>
      </c>
      <c r="F187" s="96"/>
      <c r="G187" s="97"/>
      <c r="H187" s="98"/>
      <c r="I187" s="93"/>
      <c r="J187" s="99"/>
      <c r="K187" s="100"/>
      <c r="L187" s="101"/>
    </row>
    <row r="188" spans="1:56" s="14" customFormat="1" x14ac:dyDescent="0.2">
      <c r="A188" s="92" t="str">
        <f>IF(F188&lt;&gt;"",1+MAX($A$6:A187),"")</f>
        <v/>
      </c>
      <c r="B188" s="94"/>
      <c r="C188" s="94"/>
      <c r="D188" s="102"/>
      <c r="E188" s="103" t="s">
        <v>137</v>
      </c>
      <c r="F188" s="96"/>
      <c r="G188" s="104"/>
      <c r="H188" s="98"/>
      <c r="I188" s="93"/>
      <c r="J188" s="99"/>
      <c r="K188" s="105"/>
      <c r="L188" s="101"/>
      <c r="M188" s="27"/>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28"/>
      <c r="AS188" s="28"/>
      <c r="AT188" s="28"/>
      <c r="AU188" s="28"/>
      <c r="AV188" s="28"/>
      <c r="AW188" s="28"/>
      <c r="AX188" s="28"/>
      <c r="AY188" s="28"/>
      <c r="AZ188" s="28"/>
      <c r="BA188" s="28"/>
      <c r="BB188" s="28"/>
      <c r="BC188" s="28"/>
      <c r="BD188" s="28"/>
    </row>
    <row r="189" spans="1:56" s="14" customFormat="1" x14ac:dyDescent="0.2">
      <c r="A189" s="92">
        <f>IF(F189&lt;&gt;"",1+MAX($A$6:A188),"")</f>
        <v>137</v>
      </c>
      <c r="B189" s="94" t="s">
        <v>66</v>
      </c>
      <c r="C189" s="94"/>
      <c r="D189" s="102"/>
      <c r="E189" s="106" t="s">
        <v>123</v>
      </c>
      <c r="F189" s="96">
        <f>83.2*1.4142*47.9</f>
        <v>5635.9829760000002</v>
      </c>
      <c r="G189" s="104">
        <v>0.05</v>
      </c>
      <c r="H189" s="98">
        <f>F189*(1+G189)</f>
        <v>5917.7821248000009</v>
      </c>
      <c r="I189" s="93" t="s">
        <v>21</v>
      </c>
      <c r="J189" s="99">
        <f>J$10</f>
        <v>0</v>
      </c>
      <c r="K189" s="105">
        <f>J189*H189</f>
        <v>0</v>
      </c>
      <c r="L189" s="101"/>
      <c r="M189" s="27"/>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row>
    <row r="190" spans="1:56" x14ac:dyDescent="0.2">
      <c r="A190" s="92">
        <f>IF(F190&lt;&gt;"",1+MAX($A$6:A189),"")</f>
        <v>138</v>
      </c>
      <c r="B190" s="94" t="s">
        <v>66</v>
      </c>
      <c r="C190" s="94"/>
      <c r="D190" s="94"/>
      <c r="E190" s="106" t="s">
        <v>124</v>
      </c>
      <c r="F190" s="96">
        <f>251.2*1.4142*42.79</f>
        <v>15201.020841599999</v>
      </c>
      <c r="G190" s="104">
        <v>0.05</v>
      </c>
      <c r="H190" s="98">
        <f>F190*(1+G190)</f>
        <v>15961.071883679999</v>
      </c>
      <c r="I190" s="93" t="s">
        <v>21</v>
      </c>
      <c r="J190" s="99">
        <f>J$10</f>
        <v>0</v>
      </c>
      <c r="K190" s="105">
        <f>J190*H190</f>
        <v>0</v>
      </c>
      <c r="L190" s="101"/>
    </row>
    <row r="191" spans="1:56" x14ac:dyDescent="0.2">
      <c r="A191" s="92" t="str">
        <f>IF(F191&lt;&gt;"",1+MAX($A$6:A190),"")</f>
        <v/>
      </c>
      <c r="B191" s="94"/>
      <c r="C191" s="94"/>
      <c r="D191" s="94"/>
      <c r="E191" s="106"/>
      <c r="F191" s="96"/>
      <c r="G191" s="104"/>
      <c r="H191" s="98"/>
      <c r="I191" s="93"/>
      <c r="J191" s="99"/>
      <c r="K191" s="105"/>
      <c r="L191" s="101"/>
    </row>
    <row r="192" spans="1:56" s="14" customFormat="1" x14ac:dyDescent="0.2">
      <c r="A192" s="92" t="str">
        <f>IF(F192&lt;&gt;"",1+MAX($A$6:A191),"")</f>
        <v/>
      </c>
      <c r="B192" s="94"/>
      <c r="C192" s="94"/>
      <c r="D192" s="102"/>
      <c r="E192" s="103" t="s">
        <v>22</v>
      </c>
      <c r="F192" s="96"/>
      <c r="G192" s="104"/>
      <c r="H192" s="98"/>
      <c r="I192" s="93"/>
      <c r="J192" s="99"/>
      <c r="K192" s="105"/>
      <c r="L192" s="101"/>
      <c r="M192" s="27"/>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row>
    <row r="193" spans="1:56" x14ac:dyDescent="0.2">
      <c r="A193" s="92">
        <f>IF(F193&lt;&gt;"",1+MAX($A$6:A192),"")</f>
        <v>139</v>
      </c>
      <c r="B193" s="94" t="s">
        <v>66</v>
      </c>
      <c r="C193" s="94"/>
      <c r="D193" s="94"/>
      <c r="E193" s="106" t="s">
        <v>125</v>
      </c>
      <c r="F193" s="96">
        <f>(26.2+27.5)*37.69</f>
        <v>2023.953</v>
      </c>
      <c r="G193" s="104">
        <v>0.05</v>
      </c>
      <c r="H193" s="98">
        <f>F193*(1+G193)</f>
        <v>2125.15065</v>
      </c>
      <c r="I193" s="93" t="s">
        <v>21</v>
      </c>
      <c r="J193" s="99">
        <f>J$10</f>
        <v>0</v>
      </c>
      <c r="K193" s="105">
        <f>J193*H193</f>
        <v>0</v>
      </c>
      <c r="L193" s="101"/>
    </row>
    <row r="194" spans="1:56" x14ac:dyDescent="0.2">
      <c r="A194" s="92">
        <f>IF(F194&lt;&gt;"",1+MAX($A$6:A193),"")</f>
        <v>140</v>
      </c>
      <c r="B194" s="94" t="s">
        <v>66</v>
      </c>
      <c r="C194" s="94"/>
      <c r="D194" s="94"/>
      <c r="E194" s="106" t="s">
        <v>127</v>
      </c>
      <c r="F194" s="96">
        <f>7.9*47.9</f>
        <v>378.41</v>
      </c>
      <c r="G194" s="104">
        <v>0.05</v>
      </c>
      <c r="H194" s="98">
        <f>F194*(1+G194)</f>
        <v>397.33050000000003</v>
      </c>
      <c r="I194" s="93" t="s">
        <v>21</v>
      </c>
      <c r="J194" s="99">
        <f>J$10</f>
        <v>0</v>
      </c>
      <c r="K194" s="105">
        <f>J194*H194</f>
        <v>0</v>
      </c>
      <c r="L194" s="101"/>
    </row>
    <row r="195" spans="1:56" x14ac:dyDescent="0.2">
      <c r="A195" s="92">
        <f>IF(F195&lt;&gt;"",1+MAX($A$6:A194),"")</f>
        <v>141</v>
      </c>
      <c r="B195" s="94" t="s">
        <v>66</v>
      </c>
      <c r="C195" s="94"/>
      <c r="D195" s="94"/>
      <c r="E195" s="106" t="s">
        <v>130</v>
      </c>
      <c r="F195" s="96">
        <f>22.4*37.69</f>
        <v>844.25599999999986</v>
      </c>
      <c r="G195" s="104">
        <v>0.05</v>
      </c>
      <c r="H195" s="98">
        <f>F195*(1+G195)</f>
        <v>886.46879999999987</v>
      </c>
      <c r="I195" s="93" t="s">
        <v>21</v>
      </c>
      <c r="J195" s="99">
        <f>J$10</f>
        <v>0</v>
      </c>
      <c r="K195" s="105">
        <f>J195*H195</f>
        <v>0</v>
      </c>
      <c r="L195" s="101"/>
    </row>
    <row r="196" spans="1:56" x14ac:dyDescent="0.2">
      <c r="A196" s="92" t="str">
        <f>IF(F196&lt;&gt;"",1+MAX($A$6:A195),"")</f>
        <v/>
      </c>
      <c r="B196" s="94"/>
      <c r="C196" s="94"/>
      <c r="D196" s="94"/>
      <c r="E196" s="106"/>
      <c r="F196" s="96"/>
      <c r="G196" s="104"/>
      <c r="H196" s="98"/>
      <c r="I196" s="93"/>
      <c r="J196" s="99"/>
      <c r="K196" s="105"/>
      <c r="L196" s="101"/>
    </row>
    <row r="197" spans="1:56" s="14" customFormat="1" x14ac:dyDescent="0.2">
      <c r="A197" s="92" t="str">
        <f>IF(F197&lt;&gt;"",1+MAX($A$6:A196),"")</f>
        <v/>
      </c>
      <c r="B197" s="94"/>
      <c r="C197" s="94"/>
      <c r="D197" s="102"/>
      <c r="E197" s="103" t="s">
        <v>37</v>
      </c>
      <c r="F197" s="96"/>
      <c r="G197" s="104"/>
      <c r="H197" s="98"/>
      <c r="I197" s="93"/>
      <c r="J197" s="99"/>
      <c r="K197" s="105"/>
      <c r="L197" s="101"/>
      <c r="M197" s="27"/>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c r="AP197" s="28"/>
      <c r="AQ197" s="28"/>
      <c r="AR197" s="28"/>
      <c r="AS197" s="28"/>
      <c r="AT197" s="28"/>
      <c r="AU197" s="28"/>
      <c r="AV197" s="28"/>
      <c r="AW197" s="28"/>
      <c r="AX197" s="28"/>
      <c r="AY197" s="28"/>
      <c r="AZ197" s="28"/>
      <c r="BA197" s="28"/>
      <c r="BB197" s="28"/>
      <c r="BC197" s="28"/>
      <c r="BD197" s="28"/>
    </row>
    <row r="198" spans="1:56" s="14" customFormat="1" x14ac:dyDescent="0.2">
      <c r="A198" s="92">
        <f>IF(F198&lt;&gt;"",1+MAX($A$6:A197),"")</f>
        <v>142</v>
      </c>
      <c r="B198" s="94" t="s">
        <v>66</v>
      </c>
      <c r="C198" s="94"/>
      <c r="D198" s="102"/>
      <c r="E198" s="106" t="s">
        <v>63</v>
      </c>
      <c r="F198" s="96">
        <f>8.3+7.9</f>
        <v>16.200000000000003</v>
      </c>
      <c r="G198" s="104">
        <v>0.05</v>
      </c>
      <c r="H198" s="98">
        <f>F198*(1+G198)</f>
        <v>17.010000000000005</v>
      </c>
      <c r="I198" s="93" t="s">
        <v>44</v>
      </c>
      <c r="J198" s="99">
        <f>J$41</f>
        <v>0</v>
      </c>
      <c r="K198" s="105">
        <f>J198*H198</f>
        <v>0</v>
      </c>
      <c r="L198" s="101"/>
      <c r="M198" s="27"/>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c r="AP198" s="28"/>
      <c r="AQ198" s="28"/>
      <c r="AR198" s="28"/>
      <c r="AS198" s="28"/>
      <c r="AT198" s="28"/>
      <c r="AU198" s="28"/>
      <c r="AV198" s="28"/>
      <c r="AW198" s="28"/>
      <c r="AX198" s="28"/>
      <c r="AY198" s="28"/>
      <c r="AZ198" s="28"/>
      <c r="BA198" s="28"/>
      <c r="BB198" s="28"/>
      <c r="BC198" s="28"/>
      <c r="BD198" s="28"/>
    </row>
    <row r="199" spans="1:56" s="14" customFormat="1" x14ac:dyDescent="0.2">
      <c r="A199" s="92">
        <f>IF(F199&lt;&gt;"",1+MAX($A$6:A198),"")</f>
        <v>143</v>
      </c>
      <c r="B199" s="94" t="s">
        <v>66</v>
      </c>
      <c r="C199" s="94"/>
      <c r="D199" s="102"/>
      <c r="E199" s="106" t="s">
        <v>126</v>
      </c>
      <c r="F199" s="96">
        <v>23.6</v>
      </c>
      <c r="G199" s="104">
        <v>0.05</v>
      </c>
      <c r="H199" s="98">
        <f>F199*(1+G199)</f>
        <v>24.78</v>
      </c>
      <c r="I199" s="93" t="s">
        <v>44</v>
      </c>
      <c r="J199" s="99">
        <v>0</v>
      </c>
      <c r="K199" s="105">
        <f>J199*H199</f>
        <v>0</v>
      </c>
      <c r="L199" s="101"/>
      <c r="M199" s="27"/>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c r="AP199" s="28"/>
      <c r="AQ199" s="28"/>
      <c r="AR199" s="28"/>
      <c r="AS199" s="28"/>
      <c r="AT199" s="28"/>
      <c r="AU199" s="28"/>
      <c r="AV199" s="28"/>
      <c r="AW199" s="28"/>
      <c r="AX199" s="28"/>
      <c r="AY199" s="28"/>
      <c r="AZ199" s="28"/>
      <c r="BA199" s="28"/>
      <c r="BB199" s="28"/>
      <c r="BC199" s="28"/>
      <c r="BD199" s="28"/>
    </row>
    <row r="200" spans="1:56" x14ac:dyDescent="0.2">
      <c r="A200" s="92" t="str">
        <f>IF(F200&lt;&gt;"",1+MAX($A$6:A199),"")</f>
        <v/>
      </c>
      <c r="B200" s="94"/>
      <c r="C200" s="94"/>
      <c r="D200" s="94"/>
      <c r="E200" s="106"/>
      <c r="F200" s="96"/>
      <c r="G200" s="104"/>
      <c r="H200" s="98"/>
      <c r="I200" s="93"/>
      <c r="J200" s="99"/>
      <c r="K200" s="105"/>
      <c r="L200" s="101"/>
    </row>
    <row r="201" spans="1:56" s="14" customFormat="1" x14ac:dyDescent="0.2">
      <c r="A201" s="92" t="str">
        <f>IF(F201&lt;&gt;"",1+MAX($A$6:A200),"")</f>
        <v/>
      </c>
      <c r="B201" s="94"/>
      <c r="C201" s="94"/>
      <c r="D201" s="102"/>
      <c r="E201" s="103" t="s">
        <v>36</v>
      </c>
      <c r="F201" s="96"/>
      <c r="G201" s="104"/>
      <c r="H201" s="98"/>
      <c r="I201" s="93"/>
      <c r="J201" s="99"/>
      <c r="K201" s="105"/>
      <c r="L201" s="101"/>
      <c r="M201" s="27"/>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c r="AP201" s="28"/>
      <c r="AQ201" s="28"/>
      <c r="AR201" s="28"/>
      <c r="AS201" s="28"/>
      <c r="AT201" s="28"/>
      <c r="AU201" s="28"/>
      <c r="AV201" s="28"/>
      <c r="AW201" s="28"/>
      <c r="AX201" s="28"/>
      <c r="AY201" s="28"/>
      <c r="AZ201" s="28"/>
      <c r="BA201" s="28"/>
      <c r="BB201" s="28"/>
      <c r="BC201" s="28"/>
      <c r="BD201" s="28"/>
    </row>
    <row r="202" spans="1:56" s="14" customFormat="1" x14ac:dyDescent="0.2">
      <c r="A202" s="92">
        <f>IF(F202&lt;&gt;"",1+MAX($A$6:A201),"")</f>
        <v>144</v>
      </c>
      <c r="B202" s="94" t="s">
        <v>23</v>
      </c>
      <c r="C202" s="94"/>
      <c r="D202" s="102"/>
      <c r="E202" s="106" t="s">
        <v>42</v>
      </c>
      <c r="F202" s="96">
        <f>(50.3+22.4)*6.6</f>
        <v>479.81999999999988</v>
      </c>
      <c r="G202" s="104">
        <v>0.05</v>
      </c>
      <c r="H202" s="98">
        <f>F202*(1+G202)</f>
        <v>503.81099999999992</v>
      </c>
      <c r="I202" s="93" t="s">
        <v>21</v>
      </c>
      <c r="J202" s="99">
        <f>J$10</f>
        <v>0</v>
      </c>
      <c r="K202" s="105">
        <f>J202*H202</f>
        <v>0</v>
      </c>
      <c r="L202" s="101"/>
      <c r="M202" s="27"/>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c r="AP202" s="28"/>
      <c r="AQ202" s="28"/>
      <c r="AR202" s="28"/>
      <c r="AS202" s="28"/>
      <c r="AT202" s="28"/>
      <c r="AU202" s="28"/>
      <c r="AV202" s="28"/>
      <c r="AW202" s="28"/>
      <c r="AX202" s="28"/>
      <c r="AY202" s="28"/>
      <c r="AZ202" s="28"/>
      <c r="BA202" s="28"/>
      <c r="BB202" s="28"/>
      <c r="BC202" s="28"/>
      <c r="BD202" s="28"/>
    </row>
    <row r="203" spans="1:56" s="14" customFormat="1" x14ac:dyDescent="0.2">
      <c r="A203" s="92">
        <f>IF(F203&lt;&gt;"",1+MAX($A$6:A202),"")</f>
        <v>145</v>
      </c>
      <c r="B203" s="94" t="s">
        <v>23</v>
      </c>
      <c r="C203" s="94"/>
      <c r="D203" s="102"/>
      <c r="E203" s="106" t="s">
        <v>109</v>
      </c>
      <c r="F203" s="96">
        <f>1*2*0.75*4.9</f>
        <v>7.3500000000000005</v>
      </c>
      <c r="G203" s="104">
        <v>0.05</v>
      </c>
      <c r="H203" s="98">
        <f>F203*(1+G203)</f>
        <v>7.7175000000000011</v>
      </c>
      <c r="I203" s="93" t="s">
        <v>21</v>
      </c>
      <c r="J203" s="99">
        <f>J$10</f>
        <v>0</v>
      </c>
      <c r="K203" s="105">
        <f>J203*H203</f>
        <v>0</v>
      </c>
      <c r="L203" s="101"/>
      <c r="M203" s="27"/>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c r="AP203" s="28"/>
      <c r="AQ203" s="28"/>
      <c r="AR203" s="28"/>
      <c r="AS203" s="28"/>
      <c r="AT203" s="28"/>
      <c r="AU203" s="28"/>
      <c r="AV203" s="28"/>
      <c r="AW203" s="28"/>
      <c r="AX203" s="28"/>
      <c r="AY203" s="28"/>
      <c r="AZ203" s="28"/>
      <c r="BA203" s="28"/>
      <c r="BB203" s="28"/>
      <c r="BC203" s="28"/>
      <c r="BD203" s="28"/>
    </row>
    <row r="204" spans="1:56" s="14" customFormat="1" x14ac:dyDescent="0.2">
      <c r="A204" s="92">
        <f>IF(F204&lt;&gt;"",1+MAX($A$6:A203),"")</f>
        <v>146</v>
      </c>
      <c r="B204" s="94" t="s">
        <v>23</v>
      </c>
      <c r="C204" s="94"/>
      <c r="D204" s="102"/>
      <c r="E204" s="106" t="s">
        <v>131</v>
      </c>
      <c r="F204" s="96">
        <f>2*2*0.67*11.1</f>
        <v>29.748000000000001</v>
      </c>
      <c r="G204" s="104">
        <v>0.05</v>
      </c>
      <c r="H204" s="98">
        <f>F204*(1+G204)</f>
        <v>31.235400000000002</v>
      </c>
      <c r="I204" s="93" t="s">
        <v>21</v>
      </c>
      <c r="J204" s="99">
        <f>J$10</f>
        <v>0</v>
      </c>
      <c r="K204" s="105">
        <f>J204*H204</f>
        <v>0</v>
      </c>
      <c r="L204" s="101"/>
      <c r="M204" s="27"/>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c r="AP204" s="28"/>
      <c r="AQ204" s="28"/>
      <c r="AR204" s="28"/>
      <c r="AS204" s="28"/>
      <c r="AT204" s="28"/>
      <c r="AU204" s="28"/>
      <c r="AV204" s="28"/>
      <c r="AW204" s="28"/>
      <c r="AX204" s="28"/>
      <c r="AY204" s="28"/>
      <c r="AZ204" s="28"/>
      <c r="BA204" s="28"/>
      <c r="BB204" s="28"/>
      <c r="BC204" s="28"/>
      <c r="BD204" s="28"/>
    </row>
    <row r="205" spans="1:56" s="14" customFormat="1" x14ac:dyDescent="0.2">
      <c r="A205" s="92">
        <f>IF(F205&lt;&gt;"",1+MAX($A$6:A204),"")</f>
        <v>147</v>
      </c>
      <c r="B205" s="94" t="s">
        <v>23</v>
      </c>
      <c r="C205" s="94"/>
      <c r="D205" s="102"/>
      <c r="E205" s="106" t="s">
        <v>132</v>
      </c>
      <c r="F205" s="96">
        <f>129*0.67*2*1.8</f>
        <v>311.14800000000002</v>
      </c>
      <c r="G205" s="104">
        <v>0.05</v>
      </c>
      <c r="H205" s="98">
        <f>F205*(1+G205)</f>
        <v>326.70540000000005</v>
      </c>
      <c r="I205" s="93" t="s">
        <v>21</v>
      </c>
      <c r="J205" s="99">
        <f>J$10</f>
        <v>0</v>
      </c>
      <c r="K205" s="105">
        <f>J205*H205</f>
        <v>0</v>
      </c>
      <c r="L205" s="101"/>
      <c r="M205" s="27"/>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c r="AP205" s="28"/>
      <c r="AQ205" s="28"/>
      <c r="AR205" s="28"/>
      <c r="AS205" s="28"/>
      <c r="AT205" s="28"/>
      <c r="AU205" s="28"/>
      <c r="AV205" s="28"/>
      <c r="AW205" s="28"/>
      <c r="AX205" s="28"/>
      <c r="AY205" s="28"/>
      <c r="AZ205" s="28"/>
      <c r="BA205" s="28"/>
      <c r="BB205" s="28"/>
      <c r="BC205" s="28"/>
      <c r="BD205" s="28"/>
    </row>
    <row r="206" spans="1:56" s="14" customFormat="1" x14ac:dyDescent="0.2">
      <c r="A206" s="92" t="str">
        <f>IF(F206&lt;&gt;"",1+MAX($A$6:A205),"")</f>
        <v/>
      </c>
      <c r="B206" s="94"/>
      <c r="C206" s="94"/>
      <c r="D206" s="102"/>
      <c r="E206" s="103" t="s">
        <v>128</v>
      </c>
      <c r="F206" s="96"/>
      <c r="G206" s="104"/>
      <c r="H206" s="98"/>
      <c r="I206" s="93"/>
      <c r="J206" s="99"/>
      <c r="K206" s="105"/>
      <c r="L206" s="101"/>
      <c r="M206" s="27"/>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c r="AP206" s="28"/>
      <c r="AQ206" s="28"/>
      <c r="AR206" s="28"/>
      <c r="AS206" s="28"/>
      <c r="AT206" s="28"/>
      <c r="AU206" s="28"/>
      <c r="AV206" s="28"/>
      <c r="AW206" s="28"/>
      <c r="AX206" s="28"/>
      <c r="AY206" s="28"/>
      <c r="AZ206" s="28"/>
      <c r="BA206" s="28"/>
      <c r="BB206" s="28"/>
      <c r="BC206" s="28"/>
      <c r="BD206" s="28"/>
    </row>
    <row r="207" spans="1:56" s="14" customFormat="1" x14ac:dyDescent="0.2">
      <c r="A207" s="92">
        <f>IF(F207&lt;&gt;"",1+MAX($A$6:A206),"")</f>
        <v>148</v>
      </c>
      <c r="B207" s="94" t="s">
        <v>66</v>
      </c>
      <c r="C207" s="94"/>
      <c r="D207" s="102"/>
      <c r="E207" s="106" t="s">
        <v>129</v>
      </c>
      <c r="F207" s="96">
        <v>304</v>
      </c>
      <c r="G207" s="104">
        <v>0.05</v>
      </c>
      <c r="H207" s="98">
        <f>F207*(1+G207)</f>
        <v>319.2</v>
      </c>
      <c r="I207" s="93" t="s">
        <v>46</v>
      </c>
      <c r="J207" s="99">
        <v>0</v>
      </c>
      <c r="K207" s="105">
        <f>J207*H207</f>
        <v>0</v>
      </c>
      <c r="L207" s="101"/>
      <c r="M207" s="27"/>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c r="AP207" s="28"/>
      <c r="AQ207" s="28"/>
      <c r="AR207" s="28"/>
      <c r="AS207" s="28"/>
      <c r="AT207" s="28"/>
      <c r="AU207" s="28"/>
      <c r="AV207" s="28"/>
      <c r="AW207" s="28"/>
      <c r="AX207" s="28"/>
      <c r="AY207" s="28"/>
      <c r="AZ207" s="28"/>
      <c r="BA207" s="28"/>
      <c r="BB207" s="28"/>
      <c r="BC207" s="28"/>
      <c r="BD207" s="28"/>
    </row>
    <row r="208" spans="1:56" s="14" customFormat="1" x14ac:dyDescent="0.2">
      <c r="A208" s="92" t="str">
        <f>IF(F208&lt;&gt;"",1+MAX($A$6:A207),"")</f>
        <v/>
      </c>
      <c r="B208" s="94"/>
      <c r="C208" s="94"/>
      <c r="D208" s="102"/>
      <c r="E208" s="103" t="s">
        <v>136</v>
      </c>
      <c r="F208" s="96"/>
      <c r="G208" s="104"/>
      <c r="H208" s="98"/>
      <c r="I208" s="93"/>
      <c r="J208" s="99"/>
      <c r="K208" s="105"/>
      <c r="L208" s="101"/>
      <c r="M208" s="27"/>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c r="AP208" s="28"/>
      <c r="AQ208" s="28"/>
      <c r="AR208" s="28"/>
      <c r="AS208" s="28"/>
      <c r="AT208" s="28"/>
      <c r="AU208" s="28"/>
      <c r="AV208" s="28"/>
      <c r="AW208" s="28"/>
      <c r="AX208" s="28"/>
      <c r="AY208" s="28"/>
      <c r="AZ208" s="28"/>
      <c r="BA208" s="28"/>
      <c r="BB208" s="28"/>
      <c r="BC208" s="28"/>
      <c r="BD208" s="28"/>
    </row>
    <row r="209" spans="1:56" s="19" customFormat="1" ht="31.5" x14ac:dyDescent="0.2">
      <c r="A209" s="92">
        <f>IF(F209&lt;&gt;"",1+MAX($A$6:A208),"")</f>
        <v>149</v>
      </c>
      <c r="B209" s="94" t="s">
        <v>66</v>
      </c>
      <c r="C209" s="94"/>
      <c r="D209" s="102"/>
      <c r="E209" s="106" t="s">
        <v>133</v>
      </c>
      <c r="F209" s="96">
        <v>32</v>
      </c>
      <c r="G209" s="97">
        <v>0</v>
      </c>
      <c r="H209" s="98">
        <f>F209*(1+G209)</f>
        <v>32</v>
      </c>
      <c r="I209" s="93" t="s">
        <v>17</v>
      </c>
      <c r="J209" s="99">
        <v>0</v>
      </c>
      <c r="K209" s="108">
        <f>J209*H209</f>
        <v>0</v>
      </c>
      <c r="L209" s="109"/>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c r="AS209" s="20"/>
      <c r="AT209" s="20"/>
      <c r="AU209" s="20"/>
      <c r="AV209" s="20"/>
      <c r="AW209" s="20"/>
      <c r="AX209" s="20"/>
      <c r="AY209" s="20"/>
      <c r="AZ209" s="20"/>
      <c r="BA209" s="20"/>
      <c r="BB209" s="20"/>
      <c r="BC209" s="20"/>
      <c r="BD209" s="20"/>
    </row>
    <row r="210" spans="1:56" s="19" customFormat="1" ht="31.5" x14ac:dyDescent="0.2">
      <c r="A210" s="92">
        <f>IF(F210&lt;&gt;"",1+MAX($A$6:A209),"")</f>
        <v>150</v>
      </c>
      <c r="B210" s="94" t="s">
        <v>66</v>
      </c>
      <c r="C210" s="94"/>
      <c r="D210" s="102"/>
      <c r="E210" s="106" t="s">
        <v>134</v>
      </c>
      <c r="F210" s="96">
        <v>63</v>
      </c>
      <c r="G210" s="97">
        <v>0</v>
      </c>
      <c r="H210" s="98">
        <f>F210*(1+G210)</f>
        <v>63</v>
      </c>
      <c r="I210" s="93" t="s">
        <v>17</v>
      </c>
      <c r="J210" s="99">
        <v>0</v>
      </c>
      <c r="K210" s="108">
        <f>J210*H210</f>
        <v>0</v>
      </c>
      <c r="L210" s="109"/>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c r="AS210" s="20"/>
      <c r="AT210" s="20"/>
      <c r="AU210" s="20"/>
      <c r="AV210" s="20"/>
      <c r="AW210" s="20"/>
      <c r="AX210" s="20"/>
      <c r="AY210" s="20"/>
      <c r="AZ210" s="20"/>
      <c r="BA210" s="20"/>
      <c r="BB210" s="20"/>
      <c r="BC210" s="20"/>
      <c r="BD210" s="20"/>
    </row>
    <row r="211" spans="1:56" s="19" customFormat="1" ht="31.5" x14ac:dyDescent="0.2">
      <c r="A211" s="92">
        <f>IF(F211&lt;&gt;"",1+MAX($A$6:A210),"")</f>
        <v>151</v>
      </c>
      <c r="B211" s="94" t="s">
        <v>66</v>
      </c>
      <c r="C211" s="94"/>
      <c r="D211" s="102"/>
      <c r="E211" s="106" t="s">
        <v>135</v>
      </c>
      <c r="F211" s="96">
        <v>34</v>
      </c>
      <c r="G211" s="97">
        <v>0</v>
      </c>
      <c r="H211" s="98">
        <f>F211*(1+G211)</f>
        <v>34</v>
      </c>
      <c r="I211" s="93" t="s">
        <v>17</v>
      </c>
      <c r="J211" s="99">
        <v>0</v>
      </c>
      <c r="K211" s="108">
        <f>J211*H211</f>
        <v>0</v>
      </c>
      <c r="L211" s="109"/>
      <c r="M211" s="20"/>
      <c r="N211" s="20"/>
      <c r="O211" s="20"/>
      <c r="P211" s="20"/>
      <c r="Q211" s="20"/>
      <c r="R211" s="20"/>
      <c r="S211" s="20"/>
      <c r="T211" s="20"/>
      <c r="U211" s="20"/>
      <c r="V211" s="20"/>
      <c r="W211" s="20"/>
      <c r="X211" s="20"/>
      <c r="Y211" s="20"/>
      <c r="Z211" s="20"/>
      <c r="AA211" s="20"/>
      <c r="AB211" s="20"/>
      <c r="AC211" s="20"/>
      <c r="AD211" s="20"/>
      <c r="AE211" s="20"/>
      <c r="AF211" s="20"/>
      <c r="AG211" s="20"/>
      <c r="AH211" s="20"/>
      <c r="AI211" s="20"/>
      <c r="AJ211" s="20"/>
      <c r="AK211" s="20"/>
      <c r="AL211" s="20"/>
      <c r="AM211" s="20"/>
      <c r="AN211" s="20"/>
      <c r="AO211" s="20"/>
      <c r="AP211" s="20"/>
      <c r="AQ211" s="20"/>
      <c r="AR211" s="20"/>
      <c r="AS211" s="20"/>
      <c r="AT211" s="20"/>
      <c r="AU211" s="20"/>
      <c r="AV211" s="20"/>
      <c r="AW211" s="20"/>
      <c r="AX211" s="20"/>
      <c r="AY211" s="20"/>
      <c r="AZ211" s="20"/>
      <c r="BA211" s="20"/>
      <c r="BB211" s="20"/>
      <c r="BC211" s="20"/>
      <c r="BD211" s="20"/>
    </row>
    <row r="212" spans="1:56" s="19" customFormat="1" ht="19.5" customHeight="1" x14ac:dyDescent="0.2">
      <c r="A212" s="92"/>
      <c r="B212" s="94"/>
      <c r="C212" s="94"/>
      <c r="D212" s="102"/>
      <c r="E212" s="106"/>
      <c r="F212" s="96"/>
      <c r="G212" s="97"/>
      <c r="H212" s="98"/>
      <c r="I212" s="93"/>
      <c r="J212" s="99"/>
      <c r="K212" s="108"/>
      <c r="L212" s="109"/>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row>
    <row r="213" spans="1:56" ht="19.5" customHeight="1" x14ac:dyDescent="0.2">
      <c r="A213" s="92" t="str">
        <f>IF(F213&lt;&gt;"",1+MAX($A$6:A211),"")</f>
        <v/>
      </c>
      <c r="B213" s="93"/>
      <c r="C213" s="94"/>
      <c r="D213" s="94"/>
      <c r="E213" s="95" t="s">
        <v>142</v>
      </c>
      <c r="F213" s="96"/>
      <c r="G213" s="97"/>
      <c r="H213" s="98"/>
      <c r="I213" s="93"/>
      <c r="J213" s="99"/>
      <c r="K213" s="100"/>
      <c r="L213" s="101"/>
    </row>
    <row r="214" spans="1:56" s="14" customFormat="1" ht="19.5" customHeight="1" x14ac:dyDescent="0.2">
      <c r="A214" s="92">
        <f>IF(F214&lt;&gt;"",1+MAX($A$6:A213),"")</f>
        <v>152</v>
      </c>
      <c r="B214" s="94" t="s">
        <v>66</v>
      </c>
      <c r="C214" s="94"/>
      <c r="D214" s="102"/>
      <c r="E214" s="106" t="s">
        <v>143</v>
      </c>
      <c r="F214" s="96">
        <f>(2)+(3*4)+(4*5)+(6*6)+(13*7)+(17*8)+(14*9)+(17*10)+(11*11)+(6*12)+(2*13)+(1*14)+(4*15)+(7*17)+(1*18)+(4*19)+(3*20)+(3*21)+(4*22)+(2*23)+(3*24)+(1*26)+(14*27)+(1*28)+(9*29)+(1*32)+(10*33)+(1*37)+(1*38)+(3*39)+(1*43)+(1*45)+(5*47)+(2*48)+(2*51)+(1*52)+(1*81)</f>
        <v>3329</v>
      </c>
      <c r="G214" s="104">
        <v>0</v>
      </c>
      <c r="H214" s="98">
        <f t="shared" ref="H214:H221" si="29">F214*(1+G214)</f>
        <v>3329</v>
      </c>
      <c r="I214" s="93" t="s">
        <v>17</v>
      </c>
      <c r="J214" s="99">
        <v>0</v>
      </c>
      <c r="K214" s="105">
        <f t="shared" ref="K214:K221" si="30">J214*H214</f>
        <v>0</v>
      </c>
      <c r="L214" s="101"/>
      <c r="M214" s="27"/>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c r="AP214" s="28"/>
      <c r="AQ214" s="28"/>
      <c r="AR214" s="28"/>
      <c r="AS214" s="28"/>
      <c r="AT214" s="28"/>
      <c r="AU214" s="28"/>
      <c r="AV214" s="28"/>
      <c r="AW214" s="28"/>
      <c r="AX214" s="28"/>
      <c r="AY214" s="28"/>
      <c r="AZ214" s="28"/>
      <c r="BA214" s="28"/>
      <c r="BB214" s="28"/>
      <c r="BC214" s="28"/>
      <c r="BD214" s="28"/>
    </row>
    <row r="215" spans="1:56" s="14" customFormat="1" ht="19.5" customHeight="1" x14ac:dyDescent="0.2">
      <c r="A215" s="92">
        <f>IF(F215&lt;&gt;"",1+MAX($A$6:A214),"")</f>
        <v>153</v>
      </c>
      <c r="B215" s="94" t="s">
        <v>66</v>
      </c>
      <c r="C215" s="94"/>
      <c r="D215" s="102"/>
      <c r="E215" s="106" t="s">
        <v>49</v>
      </c>
      <c r="F215" s="96">
        <f>((4*2+2*2+5*2+3*2+3*2+23*2)*3+(10*3+4*3+6*3+3*3+1*3+1*3+2*3+3*3)*4+(3*4+2*4+4*4+7*4+2*4+6*4+1*4+8*4+2*4+6*4)*4+(31+17+5+1+15+1+32+40)*2)*0.334</f>
        <v>514.36</v>
      </c>
      <c r="G215" s="104">
        <v>0.05</v>
      </c>
      <c r="H215" s="98">
        <f t="shared" si="29"/>
        <v>540.07800000000009</v>
      </c>
      <c r="I215" s="93" t="s">
        <v>44</v>
      </c>
      <c r="J215" s="99">
        <f>J$41</f>
        <v>0</v>
      </c>
      <c r="K215" s="105">
        <f t="shared" si="30"/>
        <v>0</v>
      </c>
      <c r="L215" s="101"/>
      <c r="M215" s="27"/>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c r="AP215" s="28"/>
      <c r="AQ215" s="28"/>
      <c r="AR215" s="28"/>
      <c r="AS215" s="28"/>
      <c r="AT215" s="28"/>
      <c r="AU215" s="28"/>
      <c r="AV215" s="28"/>
      <c r="AW215" s="28"/>
      <c r="AX215" s="28"/>
      <c r="AY215" s="28"/>
      <c r="AZ215" s="28"/>
      <c r="BA215" s="28"/>
      <c r="BB215" s="28"/>
      <c r="BC215" s="28"/>
      <c r="BD215" s="28"/>
    </row>
    <row r="216" spans="1:56" s="14" customFormat="1" ht="19.5" customHeight="1" x14ac:dyDescent="0.2">
      <c r="A216" s="92">
        <f>IF(F216&lt;&gt;"",1+MAX($A$6:A215),"")</f>
        <v>154</v>
      </c>
      <c r="B216" s="94" t="s">
        <v>66</v>
      </c>
      <c r="C216" s="94"/>
      <c r="D216" s="102"/>
      <c r="E216" s="106" t="s">
        <v>144</v>
      </c>
      <c r="F216" s="96">
        <f>(3*4+2*4+4*4+7*4+2*4+6*4+1*4+8*4+2*4+6*4)*2</f>
        <v>328</v>
      </c>
      <c r="G216" s="104">
        <v>0</v>
      </c>
      <c r="H216" s="98">
        <f t="shared" si="29"/>
        <v>328</v>
      </c>
      <c r="I216" s="93" t="s">
        <v>17</v>
      </c>
      <c r="J216" s="99">
        <v>0</v>
      </c>
      <c r="K216" s="105">
        <f t="shared" si="30"/>
        <v>0</v>
      </c>
      <c r="L216" s="101"/>
      <c r="M216" s="27"/>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c r="AP216" s="28"/>
      <c r="AQ216" s="28"/>
      <c r="AR216" s="28"/>
      <c r="AS216" s="28"/>
      <c r="AT216" s="28"/>
      <c r="AU216" s="28"/>
      <c r="AV216" s="28"/>
      <c r="AW216" s="28"/>
      <c r="AX216" s="28"/>
      <c r="AY216" s="28"/>
      <c r="AZ216" s="28"/>
      <c r="BA216" s="28"/>
      <c r="BB216" s="28"/>
      <c r="BC216" s="28"/>
      <c r="BD216" s="28"/>
    </row>
    <row r="217" spans="1:56" s="14" customFormat="1" ht="31.5" x14ac:dyDescent="0.2">
      <c r="A217" s="92">
        <f>IF(F217&lt;&gt;"",1+MAX($A$6:A216),"")</f>
        <v>155</v>
      </c>
      <c r="B217" s="94" t="s">
        <v>66</v>
      </c>
      <c r="C217" s="94"/>
      <c r="D217" s="102"/>
      <c r="E217" s="106" t="s">
        <v>145</v>
      </c>
      <c r="F217" s="96">
        <f>(15*4+204*4+1*4+23*4+2*4+1*4)</f>
        <v>984</v>
      </c>
      <c r="G217" s="104">
        <v>0</v>
      </c>
      <c r="H217" s="98">
        <f t="shared" si="29"/>
        <v>984</v>
      </c>
      <c r="I217" s="93" t="s">
        <v>17</v>
      </c>
      <c r="J217" s="99">
        <v>0</v>
      </c>
      <c r="K217" s="105">
        <f t="shared" si="30"/>
        <v>0</v>
      </c>
      <c r="L217" s="101"/>
      <c r="M217" s="27"/>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c r="AP217" s="28"/>
      <c r="AQ217" s="28"/>
      <c r="AR217" s="28"/>
      <c r="AS217" s="28"/>
      <c r="AT217" s="28"/>
      <c r="AU217" s="28"/>
      <c r="AV217" s="28"/>
      <c r="AW217" s="28"/>
      <c r="AX217" s="28"/>
      <c r="AY217" s="28"/>
      <c r="AZ217" s="28"/>
      <c r="BA217" s="28"/>
      <c r="BB217" s="28"/>
      <c r="BC217" s="28"/>
      <c r="BD217" s="28"/>
    </row>
    <row r="218" spans="1:56" s="14" customFormat="1" ht="31.5" x14ac:dyDescent="0.2">
      <c r="A218" s="92">
        <f>IF(F218&lt;&gt;"",1+MAX($A$6:A217),"")</f>
        <v>156</v>
      </c>
      <c r="B218" s="94" t="s">
        <v>66</v>
      </c>
      <c r="C218" s="94"/>
      <c r="D218" s="102"/>
      <c r="E218" s="106" t="s">
        <v>146</v>
      </c>
      <c r="F218" s="96">
        <f>(24*4+22*4+1*4)</f>
        <v>188</v>
      </c>
      <c r="G218" s="104">
        <v>0</v>
      </c>
      <c r="H218" s="98">
        <f t="shared" si="29"/>
        <v>188</v>
      </c>
      <c r="I218" s="93" t="s">
        <v>17</v>
      </c>
      <c r="J218" s="99">
        <v>0</v>
      </c>
      <c r="K218" s="105">
        <f t="shared" si="30"/>
        <v>0</v>
      </c>
      <c r="L218" s="101"/>
      <c r="M218" s="27"/>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c r="AP218" s="28"/>
      <c r="AQ218" s="28"/>
      <c r="AR218" s="28"/>
      <c r="AS218" s="28"/>
      <c r="AT218" s="28"/>
      <c r="AU218" s="28"/>
      <c r="AV218" s="28"/>
      <c r="AW218" s="28"/>
      <c r="AX218" s="28"/>
      <c r="AY218" s="28"/>
      <c r="AZ218" s="28"/>
      <c r="BA218" s="28"/>
      <c r="BB218" s="28"/>
      <c r="BC218" s="28"/>
      <c r="BD218" s="28"/>
    </row>
    <row r="219" spans="1:56" s="14" customFormat="1" ht="31.5" x14ac:dyDescent="0.2">
      <c r="A219" s="92">
        <f>IF(F219&lt;&gt;"",1+MAX($A$6:A218),"")</f>
        <v>157</v>
      </c>
      <c r="B219" s="94" t="s">
        <v>66</v>
      </c>
      <c r="C219" s="94"/>
      <c r="D219" s="102"/>
      <c r="E219" s="106" t="s">
        <v>147</v>
      </c>
      <c r="F219" s="96">
        <f>(26*4+2*4+17*4+7*4)</f>
        <v>208</v>
      </c>
      <c r="G219" s="104">
        <v>0</v>
      </c>
      <c r="H219" s="98">
        <f t="shared" si="29"/>
        <v>208</v>
      </c>
      <c r="I219" s="93" t="s">
        <v>17</v>
      </c>
      <c r="J219" s="99">
        <v>0</v>
      </c>
      <c r="K219" s="105">
        <f t="shared" si="30"/>
        <v>0</v>
      </c>
      <c r="L219" s="101"/>
      <c r="M219" s="27"/>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c r="AP219" s="28"/>
      <c r="AQ219" s="28"/>
      <c r="AR219" s="28"/>
      <c r="AS219" s="28"/>
      <c r="AT219" s="28"/>
      <c r="AU219" s="28"/>
      <c r="AV219" s="28"/>
      <c r="AW219" s="28"/>
      <c r="AX219" s="28"/>
      <c r="AY219" s="28"/>
      <c r="AZ219" s="28"/>
      <c r="BA219" s="28"/>
      <c r="BB219" s="28"/>
      <c r="BC219" s="28"/>
      <c r="BD219" s="28"/>
    </row>
    <row r="220" spans="1:56" s="14" customFormat="1" ht="31.5" x14ac:dyDescent="0.2">
      <c r="A220" s="92">
        <f>IF(F220&lt;&gt;"",1+MAX($A$6:A219),"")</f>
        <v>158</v>
      </c>
      <c r="B220" s="94" t="s">
        <v>66</v>
      </c>
      <c r="C220" s="94"/>
      <c r="D220" s="102"/>
      <c r="E220" s="106" t="s">
        <v>148</v>
      </c>
      <c r="F220" s="96">
        <f>(12*4+2*4+9*4+3*4)</f>
        <v>104</v>
      </c>
      <c r="G220" s="104">
        <v>0</v>
      </c>
      <c r="H220" s="98">
        <f t="shared" si="29"/>
        <v>104</v>
      </c>
      <c r="I220" s="93" t="s">
        <v>17</v>
      </c>
      <c r="J220" s="99">
        <v>0</v>
      </c>
      <c r="K220" s="105">
        <f t="shared" si="30"/>
        <v>0</v>
      </c>
      <c r="L220" s="101"/>
      <c r="M220" s="27"/>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c r="AP220" s="28"/>
      <c r="AQ220" s="28"/>
      <c r="AR220" s="28"/>
      <c r="AS220" s="28"/>
      <c r="AT220" s="28"/>
      <c r="AU220" s="28"/>
      <c r="AV220" s="28"/>
      <c r="AW220" s="28"/>
      <c r="AX220" s="28"/>
      <c r="AY220" s="28"/>
      <c r="AZ220" s="28"/>
      <c r="BA220" s="28"/>
      <c r="BB220" s="28"/>
      <c r="BC220" s="28"/>
      <c r="BD220" s="28"/>
    </row>
    <row r="221" spans="1:56" s="14" customFormat="1" ht="31.5" x14ac:dyDescent="0.2">
      <c r="A221" s="92">
        <f>IF(F221&lt;&gt;"",1+MAX($A$6:A220),"")</f>
        <v>159</v>
      </c>
      <c r="B221" s="94" t="s">
        <v>66</v>
      </c>
      <c r="C221" s="94"/>
      <c r="D221" s="102"/>
      <c r="E221" s="106" t="s">
        <v>149</v>
      </c>
      <c r="F221" s="96">
        <f>(9*4+3*4+1*4+2*4)</f>
        <v>60</v>
      </c>
      <c r="G221" s="104">
        <v>0</v>
      </c>
      <c r="H221" s="98">
        <f t="shared" si="29"/>
        <v>60</v>
      </c>
      <c r="I221" s="93" t="s">
        <v>17</v>
      </c>
      <c r="J221" s="99">
        <v>0</v>
      </c>
      <c r="K221" s="105">
        <f t="shared" si="30"/>
        <v>0</v>
      </c>
      <c r="L221" s="101"/>
      <c r="M221" s="27"/>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c r="AP221" s="28"/>
      <c r="AQ221" s="28"/>
      <c r="AR221" s="28"/>
      <c r="AS221" s="28"/>
      <c r="AT221" s="28"/>
      <c r="AU221" s="28"/>
      <c r="AV221" s="28"/>
      <c r="AW221" s="28"/>
      <c r="AX221" s="28"/>
      <c r="AY221" s="28"/>
      <c r="AZ221" s="28"/>
      <c r="BA221" s="28"/>
      <c r="BB221" s="28"/>
      <c r="BC221" s="28"/>
      <c r="BD221" s="28"/>
    </row>
    <row r="222" spans="1:56" s="14" customFormat="1" ht="19.5" customHeight="1" x14ac:dyDescent="0.2">
      <c r="A222" s="92"/>
      <c r="B222" s="94"/>
      <c r="C222" s="94"/>
      <c r="D222" s="102"/>
      <c r="E222" s="106"/>
      <c r="F222" s="96"/>
      <c r="G222" s="104"/>
      <c r="H222" s="98"/>
      <c r="I222" s="93"/>
      <c r="J222" s="99"/>
      <c r="K222" s="105"/>
      <c r="L222" s="101"/>
      <c r="M222" s="27"/>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c r="AP222" s="28"/>
      <c r="AQ222" s="28"/>
      <c r="AR222" s="28"/>
      <c r="AS222" s="28"/>
      <c r="AT222" s="28"/>
      <c r="AU222" s="28"/>
      <c r="AV222" s="28"/>
      <c r="AW222" s="28"/>
      <c r="AX222" s="28"/>
      <c r="AY222" s="28"/>
      <c r="AZ222" s="28"/>
      <c r="BA222" s="28"/>
      <c r="BB222" s="28"/>
      <c r="BC222" s="28"/>
      <c r="BD222" s="28"/>
    </row>
    <row r="223" spans="1:56" s="14" customFormat="1" ht="19.5" customHeight="1" x14ac:dyDescent="0.2">
      <c r="A223" s="92"/>
      <c r="B223" s="94"/>
      <c r="C223" s="94"/>
      <c r="D223" s="102"/>
      <c r="E223" s="106"/>
      <c r="F223" s="96"/>
      <c r="G223" s="104"/>
      <c r="H223" s="98"/>
      <c r="I223" s="93"/>
      <c r="J223" s="99"/>
      <c r="K223" s="105"/>
      <c r="L223" s="101"/>
      <c r="M223" s="27"/>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c r="AP223" s="28"/>
      <c r="AQ223" s="28"/>
      <c r="AR223" s="28"/>
      <c r="AS223" s="28"/>
      <c r="AT223" s="28"/>
      <c r="AU223" s="28"/>
      <c r="AV223" s="28"/>
      <c r="AW223" s="28"/>
      <c r="AX223" s="28"/>
      <c r="AY223" s="28"/>
      <c r="AZ223" s="28"/>
      <c r="BA223" s="28"/>
      <c r="BB223" s="28"/>
      <c r="BC223" s="28"/>
      <c r="BD223" s="28"/>
    </row>
    <row r="224" spans="1:56" ht="19.5" customHeight="1" x14ac:dyDescent="0.2">
      <c r="A224" s="92" t="str">
        <f>IF(F224&lt;&gt;"",1+MAX($A$6:A221),"")</f>
        <v/>
      </c>
      <c r="B224" s="93"/>
      <c r="C224" s="94"/>
      <c r="D224" s="94"/>
      <c r="E224" s="95" t="s">
        <v>138</v>
      </c>
      <c r="F224" s="96"/>
      <c r="G224" s="97"/>
      <c r="H224" s="98"/>
      <c r="I224" s="93"/>
      <c r="J224" s="99"/>
      <c r="K224" s="100"/>
      <c r="L224" s="101"/>
    </row>
    <row r="225" spans="1:56" s="14" customFormat="1" ht="19.5" customHeight="1" x14ac:dyDescent="0.2">
      <c r="A225" s="92">
        <f>IF(F225&lt;&gt;"",1+MAX($A$6:A224),"")</f>
        <v>160</v>
      </c>
      <c r="B225" s="94" t="s">
        <v>66</v>
      </c>
      <c r="C225" s="94"/>
      <c r="D225" s="102"/>
      <c r="E225" s="106" t="s">
        <v>139</v>
      </c>
      <c r="F225" s="96">
        <v>1</v>
      </c>
      <c r="G225" s="104">
        <v>0</v>
      </c>
      <c r="H225" s="98">
        <f>F225*(1+G225)</f>
        <v>1</v>
      </c>
      <c r="I225" s="93" t="s">
        <v>140</v>
      </c>
      <c r="J225" s="99">
        <v>0</v>
      </c>
      <c r="K225" s="105">
        <f>J225*H225</f>
        <v>0</v>
      </c>
      <c r="L225" s="101"/>
      <c r="M225" s="27"/>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c r="AP225" s="28"/>
      <c r="AQ225" s="28"/>
      <c r="AR225" s="28"/>
      <c r="AS225" s="28"/>
      <c r="AT225" s="28"/>
      <c r="AU225" s="28"/>
      <c r="AV225" s="28"/>
      <c r="AW225" s="28"/>
      <c r="AX225" s="28"/>
      <c r="AY225" s="28"/>
      <c r="AZ225" s="28"/>
      <c r="BA225" s="28"/>
      <c r="BB225" s="28"/>
      <c r="BC225" s="28"/>
      <c r="BD225" s="28"/>
    </row>
    <row r="226" spans="1:56" ht="19.5" customHeight="1" x14ac:dyDescent="0.2">
      <c r="A226" s="92">
        <f>IF(F226&lt;&gt;"",1+MAX($A$6:A225),"")</f>
        <v>161</v>
      </c>
      <c r="B226" s="94" t="s">
        <v>66</v>
      </c>
      <c r="C226" s="94"/>
      <c r="D226" s="94"/>
      <c r="E226" s="106" t="s">
        <v>141</v>
      </c>
      <c r="F226" s="96">
        <f>608417*0.08</f>
        <v>48673.36</v>
      </c>
      <c r="G226" s="104">
        <v>0.05</v>
      </c>
      <c r="H226" s="98">
        <f>F226*(1+G226)</f>
        <v>51107.028000000006</v>
      </c>
      <c r="I226" s="93" t="s">
        <v>21</v>
      </c>
      <c r="J226" s="99">
        <f>J$10</f>
        <v>0</v>
      </c>
      <c r="K226" s="105">
        <f>J226*H226</f>
        <v>0</v>
      </c>
      <c r="L226" s="101"/>
    </row>
    <row r="227" spans="1:56" ht="19.5" customHeight="1" x14ac:dyDescent="0.2">
      <c r="A227" s="92"/>
      <c r="B227" s="94"/>
      <c r="C227" s="94"/>
      <c r="D227" s="94"/>
      <c r="E227" s="106"/>
      <c r="F227" s="96"/>
      <c r="G227" s="104"/>
      <c r="H227" s="98"/>
      <c r="I227" s="93"/>
      <c r="J227" s="99"/>
      <c r="K227" s="105"/>
      <c r="L227" s="101"/>
    </row>
    <row r="228" spans="1:56" ht="19.5" customHeight="1" x14ac:dyDescent="0.2">
      <c r="A228" s="92"/>
      <c r="B228" s="94"/>
      <c r="C228" s="94"/>
      <c r="D228" s="94"/>
      <c r="E228" s="106"/>
      <c r="F228" s="96"/>
      <c r="G228" s="104"/>
      <c r="H228" s="98"/>
      <c r="I228" s="93"/>
      <c r="J228" s="99"/>
      <c r="K228" s="105"/>
      <c r="L228" s="101"/>
    </row>
    <row r="229" spans="1:56" ht="19.5" customHeight="1" x14ac:dyDescent="0.2">
      <c r="A229" s="92"/>
      <c r="B229" s="94"/>
      <c r="C229" s="94"/>
      <c r="D229" s="94"/>
      <c r="E229" s="106"/>
      <c r="F229" s="96"/>
      <c r="G229" s="104"/>
      <c r="H229" s="98"/>
      <c r="I229" s="93"/>
      <c r="J229" s="99"/>
      <c r="K229" s="105"/>
      <c r="L229" s="101"/>
    </row>
    <row r="230" spans="1:56" ht="19.5" customHeight="1" x14ac:dyDescent="0.2">
      <c r="A230" s="92" t="str">
        <f>IF(F230&lt;&gt;"",1+MAX($A$6:A226),"")</f>
        <v/>
      </c>
      <c r="B230" s="93"/>
      <c r="C230" s="94"/>
      <c r="D230" s="94"/>
      <c r="E230" s="110" t="s">
        <v>208</v>
      </c>
      <c r="F230" s="96"/>
      <c r="G230" s="97"/>
      <c r="H230" s="98"/>
      <c r="I230" s="93"/>
      <c r="J230" s="99"/>
      <c r="K230" s="100"/>
      <c r="L230" s="101">
        <f>SUM(K6:K226)</f>
        <v>0</v>
      </c>
    </row>
    <row r="231" spans="1:56" s="23" customFormat="1" ht="19.5" customHeight="1" x14ac:dyDescent="0.2">
      <c r="A231" s="43" t="s">
        <v>13</v>
      </c>
      <c r="B231" s="29"/>
      <c r="C231" s="29"/>
      <c r="D231" s="29"/>
      <c r="E231" s="30"/>
      <c r="F231" s="31"/>
      <c r="G231" s="32"/>
      <c r="H231" s="32"/>
      <c r="I231" s="33"/>
      <c r="J231" s="34"/>
      <c r="K231" s="35">
        <f>(SUM(K7:K230))</f>
        <v>0</v>
      </c>
      <c r="L231" s="44">
        <f>SUM(L7:L230)</f>
        <v>0</v>
      </c>
      <c r="M231" s="1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row>
    <row r="232" spans="1:56" s="24" customFormat="1" ht="19.5" customHeight="1" x14ac:dyDescent="0.2">
      <c r="A232" s="45" t="s">
        <v>12</v>
      </c>
      <c r="B232" s="36"/>
      <c r="C232" s="36"/>
      <c r="D232" s="36"/>
      <c r="E232" s="37"/>
      <c r="F232" s="38"/>
      <c r="G232" s="39"/>
      <c r="H232" s="39"/>
      <c r="I232" s="40"/>
      <c r="J232" s="41">
        <v>0.3</v>
      </c>
      <c r="K232" s="42">
        <f>K231*J232</f>
        <v>0</v>
      </c>
      <c r="L232" s="46">
        <f>L231*J232</f>
        <v>0</v>
      </c>
      <c r="M232" s="1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row>
    <row r="233" spans="1:56" s="24" customFormat="1" ht="19.5" customHeight="1" x14ac:dyDescent="0.2">
      <c r="A233" s="45" t="s">
        <v>151</v>
      </c>
      <c r="B233" s="36"/>
      <c r="C233" s="36"/>
      <c r="D233" s="36"/>
      <c r="E233" s="37"/>
      <c r="F233" s="38"/>
      <c r="G233" s="39"/>
      <c r="H233" s="39"/>
      <c r="I233" s="40"/>
      <c r="J233" s="41">
        <v>0.05</v>
      </c>
      <c r="K233" s="42">
        <f>K231*J233</f>
        <v>0</v>
      </c>
      <c r="L233" s="46">
        <f>L231*J233</f>
        <v>0</v>
      </c>
      <c r="M233" s="1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row>
    <row r="234" spans="1:56" s="23" customFormat="1" ht="19.5" customHeight="1" thickBot="1" x14ac:dyDescent="0.25">
      <c r="A234" s="47" t="s">
        <v>150</v>
      </c>
      <c r="B234" s="48"/>
      <c r="C234" s="48"/>
      <c r="D234" s="48"/>
      <c r="E234" s="49"/>
      <c r="F234" s="50"/>
      <c r="G234" s="51"/>
      <c r="H234" s="52"/>
      <c r="I234" s="48"/>
      <c r="J234" s="53"/>
      <c r="K234" s="54">
        <f>SUM(K231:K233)</f>
        <v>0</v>
      </c>
      <c r="L234" s="55">
        <f>SUM(L231:L233)</f>
        <v>0</v>
      </c>
      <c r="M234" s="1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row>
    <row r="235" spans="1:56" ht="16.5" thickBot="1" x14ac:dyDescent="0.25"/>
    <row r="236" spans="1:56" ht="21.75" thickBot="1" x14ac:dyDescent="0.25">
      <c r="A236" s="155" t="s">
        <v>228</v>
      </c>
      <c r="B236" s="156"/>
      <c r="C236" s="156"/>
      <c r="D236" s="156"/>
      <c r="E236" s="156"/>
      <c r="F236" s="156"/>
      <c r="G236" s="156"/>
      <c r="H236" s="156"/>
      <c r="I236" s="156"/>
      <c r="J236" s="156"/>
      <c r="K236" s="156"/>
      <c r="L236" s="157"/>
    </row>
    <row r="237" spans="1:56" x14ac:dyDescent="0.2">
      <c r="A237" s="134" t="str">
        <f>IF(F237&lt;&gt;"",1+MAX(#REF!),"")</f>
        <v/>
      </c>
      <c r="B237" s="130"/>
      <c r="C237" s="130"/>
      <c r="D237" s="131"/>
      <c r="E237" s="131" t="s">
        <v>19</v>
      </c>
      <c r="F237" s="125"/>
      <c r="G237" s="132"/>
      <c r="H237" s="132"/>
      <c r="I237" s="132"/>
      <c r="J237" s="133"/>
      <c r="K237" s="132"/>
      <c r="L237" s="135"/>
    </row>
    <row r="238" spans="1:56" x14ac:dyDescent="0.2">
      <c r="A238" s="92" t="str">
        <f>IF(F238&lt;&gt;"",1+MAX(#REF!),"")</f>
        <v/>
      </c>
      <c r="B238" s="93"/>
      <c r="C238" s="94"/>
      <c r="D238" s="94"/>
      <c r="E238" s="95" t="s">
        <v>153</v>
      </c>
      <c r="F238" s="96"/>
      <c r="G238" s="97"/>
      <c r="H238" s="98"/>
      <c r="I238" s="93"/>
      <c r="J238" s="99"/>
      <c r="K238" s="100"/>
      <c r="L238" s="101"/>
    </row>
    <row r="239" spans="1:56" ht="78.75" x14ac:dyDescent="0.2">
      <c r="A239" s="116">
        <f>IF(F239&lt;&gt;"",1+MAX(A237:A238),"")</f>
        <v>1</v>
      </c>
      <c r="B239" s="117" t="s">
        <v>154</v>
      </c>
      <c r="C239" s="117" t="s">
        <v>155</v>
      </c>
      <c r="D239" s="118"/>
      <c r="E239" s="124" t="s">
        <v>156</v>
      </c>
      <c r="F239" s="119">
        <v>37.200000000000003</v>
      </c>
      <c r="G239" s="97">
        <v>0.05</v>
      </c>
      <c r="H239" s="120">
        <f>F239*(1+G239)</f>
        <v>39.06</v>
      </c>
      <c r="I239" s="121" t="s">
        <v>44</v>
      </c>
      <c r="J239" s="99">
        <v>0</v>
      </c>
      <c r="K239" s="108">
        <f t="shared" ref="K239:K246" si="31">J239*H239</f>
        <v>0</v>
      </c>
      <c r="L239" s="109"/>
    </row>
    <row r="240" spans="1:56" ht="110.25" x14ac:dyDescent="0.2">
      <c r="A240" s="116">
        <f>IF(F240&lt;&gt;"",1+MAX(A237:A239),"")</f>
        <v>2</v>
      </c>
      <c r="B240" s="117" t="s">
        <v>154</v>
      </c>
      <c r="C240" s="117" t="s">
        <v>157</v>
      </c>
      <c r="D240" s="118"/>
      <c r="E240" s="124" t="s">
        <v>158</v>
      </c>
      <c r="F240" s="119">
        <v>90.5</v>
      </c>
      <c r="G240" s="97">
        <v>0.05</v>
      </c>
      <c r="H240" s="120">
        <f t="shared" ref="H240:H246" si="32">F240*(1+G240)</f>
        <v>95.025000000000006</v>
      </c>
      <c r="I240" s="121" t="s">
        <v>44</v>
      </c>
      <c r="J240" s="99">
        <v>0</v>
      </c>
      <c r="K240" s="108">
        <f t="shared" si="31"/>
        <v>0</v>
      </c>
      <c r="L240" s="109"/>
    </row>
    <row r="241" spans="1:12" ht="252" x14ac:dyDescent="0.2">
      <c r="A241" s="116">
        <f>IF(F241&lt;&gt;"",1+MAX(A237:A240),"")</f>
        <v>3</v>
      </c>
      <c r="B241" s="117" t="s">
        <v>154</v>
      </c>
      <c r="C241" s="117" t="s">
        <v>159</v>
      </c>
      <c r="D241" s="118"/>
      <c r="E241" s="124" t="s">
        <v>160</v>
      </c>
      <c r="F241" s="119">
        <v>19.100000000000001</v>
      </c>
      <c r="G241" s="97">
        <v>0.05</v>
      </c>
      <c r="H241" s="120">
        <f t="shared" si="32"/>
        <v>20.055000000000003</v>
      </c>
      <c r="I241" s="121" t="s">
        <v>44</v>
      </c>
      <c r="J241" s="99">
        <v>0</v>
      </c>
      <c r="K241" s="108">
        <f t="shared" si="31"/>
        <v>0</v>
      </c>
      <c r="L241" s="109"/>
    </row>
    <row r="242" spans="1:12" ht="173.25" x14ac:dyDescent="0.2">
      <c r="A242" s="116">
        <f>IF(F242&lt;&gt;"",1+MAX(A237:A241),"")</f>
        <v>4</v>
      </c>
      <c r="B242" s="117" t="s">
        <v>154</v>
      </c>
      <c r="C242" s="117" t="s">
        <v>161</v>
      </c>
      <c r="D242" s="118"/>
      <c r="E242" s="124" t="s">
        <v>162</v>
      </c>
      <c r="F242" s="119">
        <v>75.900000000000006</v>
      </c>
      <c r="G242" s="97">
        <v>0.05</v>
      </c>
      <c r="H242" s="120">
        <f t="shared" si="32"/>
        <v>79.695000000000007</v>
      </c>
      <c r="I242" s="121" t="s">
        <v>44</v>
      </c>
      <c r="J242" s="99">
        <v>0</v>
      </c>
      <c r="K242" s="108">
        <f t="shared" si="31"/>
        <v>0</v>
      </c>
      <c r="L242" s="109"/>
    </row>
    <row r="243" spans="1:12" ht="173.25" x14ac:dyDescent="0.2">
      <c r="A243" s="116">
        <f>IF(F243&lt;&gt;"",1+MAX(A237:A242),"")</f>
        <v>5</v>
      </c>
      <c r="B243" s="117" t="s">
        <v>154</v>
      </c>
      <c r="C243" s="117" t="s">
        <v>163</v>
      </c>
      <c r="D243" s="118"/>
      <c r="E243" s="124" t="s">
        <v>164</v>
      </c>
      <c r="F243" s="119">
        <f>145.3*1.13+79.9</f>
        <v>244.089</v>
      </c>
      <c r="G243" s="97">
        <v>0.05</v>
      </c>
      <c r="H243" s="120">
        <f t="shared" si="32"/>
        <v>256.29345000000001</v>
      </c>
      <c r="I243" s="121" t="s">
        <v>44</v>
      </c>
      <c r="J243" s="99">
        <v>0</v>
      </c>
      <c r="K243" s="108">
        <f t="shared" si="31"/>
        <v>0</v>
      </c>
      <c r="L243" s="109"/>
    </row>
    <row r="244" spans="1:12" ht="173.25" x14ac:dyDescent="0.2">
      <c r="A244" s="116">
        <f>IF(F244&lt;&gt;"",1+MAX(A237:A243),"")</f>
        <v>6</v>
      </c>
      <c r="B244" s="117" t="s">
        <v>154</v>
      </c>
      <c r="C244" s="117" t="s">
        <v>161</v>
      </c>
      <c r="D244" s="118"/>
      <c r="E244" s="124" t="s">
        <v>165</v>
      </c>
      <c r="F244" s="119">
        <v>19.899999999999999</v>
      </c>
      <c r="G244" s="97">
        <v>0.05</v>
      </c>
      <c r="H244" s="120">
        <f t="shared" si="32"/>
        <v>20.895</v>
      </c>
      <c r="I244" s="121" t="s">
        <v>44</v>
      </c>
      <c r="J244" s="99">
        <v>0</v>
      </c>
      <c r="K244" s="108">
        <f t="shared" si="31"/>
        <v>0</v>
      </c>
      <c r="L244" s="109"/>
    </row>
    <row r="245" spans="1:12" ht="157.5" x14ac:dyDescent="0.2">
      <c r="A245" s="116">
        <f>IF(F245&lt;&gt;"",1+MAX(A237:A244),"")</f>
        <v>7</v>
      </c>
      <c r="B245" s="117" t="s">
        <v>154</v>
      </c>
      <c r="C245" s="117" t="s">
        <v>166</v>
      </c>
      <c r="D245" s="118"/>
      <c r="E245" s="124" t="s">
        <v>167</v>
      </c>
      <c r="F245" s="119">
        <f>86.8*1.13</f>
        <v>98.083999999999989</v>
      </c>
      <c r="G245" s="97">
        <v>0.05</v>
      </c>
      <c r="H245" s="120">
        <f t="shared" si="32"/>
        <v>102.98819999999999</v>
      </c>
      <c r="I245" s="121" t="s">
        <v>44</v>
      </c>
      <c r="J245" s="99">
        <v>0</v>
      </c>
      <c r="K245" s="108">
        <f t="shared" si="31"/>
        <v>0</v>
      </c>
      <c r="L245" s="109"/>
    </row>
    <row r="246" spans="1:12" ht="173.25" x14ac:dyDescent="0.2">
      <c r="A246" s="116">
        <f>IF(F246&lt;&gt;"",1+MAX(A238:A245),"")</f>
        <v>8</v>
      </c>
      <c r="B246" s="117" t="s">
        <v>154</v>
      </c>
      <c r="C246" s="117" t="s">
        <v>161</v>
      </c>
      <c r="D246" s="118"/>
      <c r="E246" s="124" t="s">
        <v>168</v>
      </c>
      <c r="F246" s="119">
        <v>40.1</v>
      </c>
      <c r="G246" s="97">
        <v>0.05</v>
      </c>
      <c r="H246" s="120">
        <f t="shared" si="32"/>
        <v>42.105000000000004</v>
      </c>
      <c r="I246" s="121" t="s">
        <v>44</v>
      </c>
      <c r="J246" s="99">
        <v>0</v>
      </c>
      <c r="K246" s="108">
        <f t="shared" si="31"/>
        <v>0</v>
      </c>
      <c r="L246" s="109"/>
    </row>
    <row r="247" spans="1:12" x14ac:dyDescent="0.2">
      <c r="A247" s="116" t="str">
        <f t="shared" ref="A247:A254" si="33">IF(F247&lt;&gt;"",1+MAX(A240:A246),"")</f>
        <v/>
      </c>
      <c r="B247" s="93"/>
      <c r="C247" s="94"/>
      <c r="D247" s="94"/>
      <c r="E247" s="95" t="s">
        <v>217</v>
      </c>
      <c r="F247" s="96"/>
      <c r="G247" s="97"/>
      <c r="H247" s="98"/>
      <c r="I247" s="93"/>
      <c r="J247" s="99"/>
      <c r="K247" s="100"/>
      <c r="L247" s="101"/>
    </row>
    <row r="248" spans="1:12" ht="63" x14ac:dyDescent="0.2">
      <c r="A248" s="116">
        <f t="shared" si="33"/>
        <v>9</v>
      </c>
      <c r="B248" s="117" t="s">
        <v>219</v>
      </c>
      <c r="C248" s="117" t="s">
        <v>218</v>
      </c>
      <c r="D248" s="118"/>
      <c r="E248" s="124" t="s">
        <v>220</v>
      </c>
      <c r="F248" s="119">
        <f>88.3*2+15.8*3</f>
        <v>224</v>
      </c>
      <c r="G248" s="97">
        <v>0.05</v>
      </c>
      <c r="H248" s="120">
        <f t="shared" ref="H248" si="34">F248*(1+G248)</f>
        <v>235.20000000000002</v>
      </c>
      <c r="I248" s="121" t="s">
        <v>44</v>
      </c>
      <c r="J248" s="99">
        <v>0</v>
      </c>
      <c r="K248" s="108">
        <f t="shared" ref="K248" si="35">J248*H248</f>
        <v>0</v>
      </c>
      <c r="L248" s="109"/>
    </row>
    <row r="249" spans="1:12" x14ac:dyDescent="0.2">
      <c r="A249" s="116" t="str">
        <f t="shared" si="33"/>
        <v/>
      </c>
      <c r="B249" s="117"/>
      <c r="C249" s="117"/>
      <c r="D249" s="118"/>
      <c r="E249" s="124"/>
      <c r="F249" s="119"/>
      <c r="G249" s="119"/>
      <c r="H249" s="119"/>
      <c r="I249" s="119"/>
      <c r="J249" s="119"/>
      <c r="K249" s="108"/>
      <c r="L249" s="109"/>
    </row>
    <row r="250" spans="1:12" x14ac:dyDescent="0.2">
      <c r="A250" s="116" t="str">
        <f t="shared" si="33"/>
        <v/>
      </c>
      <c r="B250" s="93"/>
      <c r="C250" s="94"/>
      <c r="D250" s="94"/>
      <c r="E250" s="95" t="s">
        <v>169</v>
      </c>
      <c r="F250" s="96"/>
      <c r="G250" s="97"/>
      <c r="H250" s="98"/>
      <c r="I250" s="93"/>
      <c r="J250" s="99"/>
      <c r="K250" s="100"/>
      <c r="L250" s="101"/>
    </row>
    <row r="251" spans="1:12" x14ac:dyDescent="0.2">
      <c r="A251" s="116">
        <f t="shared" si="33"/>
        <v>10</v>
      </c>
      <c r="B251" s="117" t="s">
        <v>170</v>
      </c>
      <c r="C251" s="117" t="s">
        <v>171</v>
      </c>
      <c r="D251" s="118"/>
      <c r="E251" s="124" t="s">
        <v>172</v>
      </c>
      <c r="F251" s="119">
        <f>151.5+12*6</f>
        <v>223.5</v>
      </c>
      <c r="G251" s="97">
        <v>0.05</v>
      </c>
      <c r="H251" s="120">
        <f>F251*(1+G251)</f>
        <v>234.67500000000001</v>
      </c>
      <c r="I251" s="121" t="s">
        <v>46</v>
      </c>
      <c r="J251" s="99">
        <v>0</v>
      </c>
      <c r="K251" s="108">
        <f>J251*H251</f>
        <v>0</v>
      </c>
      <c r="L251" s="109"/>
    </row>
    <row r="252" spans="1:12" x14ac:dyDescent="0.2">
      <c r="A252" s="116" t="str">
        <f t="shared" si="33"/>
        <v/>
      </c>
      <c r="B252" s="117"/>
      <c r="C252" s="117"/>
      <c r="D252" s="118"/>
      <c r="E252" s="124"/>
      <c r="F252" s="119"/>
      <c r="G252" s="119"/>
      <c r="H252" s="119"/>
      <c r="I252" s="119"/>
      <c r="J252" s="119"/>
      <c r="K252" s="108"/>
      <c r="L252" s="109"/>
    </row>
    <row r="253" spans="1:12" x14ac:dyDescent="0.2">
      <c r="A253" s="116" t="str">
        <f t="shared" si="33"/>
        <v/>
      </c>
      <c r="B253" s="93"/>
      <c r="C253" s="94"/>
      <c r="D253" s="94"/>
      <c r="E253" s="95" t="s">
        <v>176</v>
      </c>
      <c r="F253" s="96"/>
      <c r="G253" s="97"/>
      <c r="H253" s="98"/>
      <c r="I253" s="93"/>
      <c r="J253" s="99"/>
      <c r="K253" s="100"/>
      <c r="L253" s="101"/>
    </row>
    <row r="254" spans="1:12" ht="110.25" x14ac:dyDescent="0.2">
      <c r="A254" s="116">
        <f t="shared" si="33"/>
        <v>11</v>
      </c>
      <c r="B254" s="94" t="s">
        <v>177</v>
      </c>
      <c r="C254" s="94"/>
      <c r="D254" s="102"/>
      <c r="E254" s="106" t="s">
        <v>178</v>
      </c>
      <c r="F254" s="96">
        <v>4</v>
      </c>
      <c r="G254" s="97">
        <v>0</v>
      </c>
      <c r="H254" s="98">
        <f t="shared" ref="H254:H259" si="36">F254*(1+G254)</f>
        <v>4</v>
      </c>
      <c r="I254" s="93" t="s">
        <v>17</v>
      </c>
      <c r="J254" s="99">
        <v>0</v>
      </c>
      <c r="K254" s="108">
        <f t="shared" ref="K254:K259" si="37">J254*H254</f>
        <v>0</v>
      </c>
      <c r="L254" s="109"/>
    </row>
    <row r="255" spans="1:12" ht="110.25" x14ac:dyDescent="0.2">
      <c r="A255" s="116">
        <f t="shared" ref="A255:A286" si="38">IF(F255&lt;&gt;"",1+MAX(A247:A254),"")</f>
        <v>12</v>
      </c>
      <c r="B255" s="94" t="s">
        <v>177</v>
      </c>
      <c r="C255" s="94"/>
      <c r="D255" s="102"/>
      <c r="E255" s="106" t="s">
        <v>179</v>
      </c>
      <c r="F255" s="96">
        <v>4</v>
      </c>
      <c r="G255" s="97">
        <v>0</v>
      </c>
      <c r="H255" s="98">
        <f t="shared" si="36"/>
        <v>4</v>
      </c>
      <c r="I255" s="93" t="s">
        <v>17</v>
      </c>
      <c r="J255" s="99">
        <v>0</v>
      </c>
      <c r="K255" s="108">
        <f t="shared" si="37"/>
        <v>0</v>
      </c>
      <c r="L255" s="109"/>
    </row>
    <row r="256" spans="1:12" ht="110.25" x14ac:dyDescent="0.2">
      <c r="A256" s="116">
        <f t="shared" si="38"/>
        <v>13</v>
      </c>
      <c r="B256" s="94" t="s">
        <v>177</v>
      </c>
      <c r="C256" s="94"/>
      <c r="D256" s="102"/>
      <c r="E256" s="106" t="s">
        <v>180</v>
      </c>
      <c r="F256" s="96">
        <v>1</v>
      </c>
      <c r="G256" s="97">
        <v>0</v>
      </c>
      <c r="H256" s="98">
        <f t="shared" si="36"/>
        <v>1</v>
      </c>
      <c r="I256" s="93" t="s">
        <v>17</v>
      </c>
      <c r="J256" s="99">
        <v>0</v>
      </c>
      <c r="K256" s="108">
        <f t="shared" si="37"/>
        <v>0</v>
      </c>
      <c r="L256" s="109"/>
    </row>
    <row r="257" spans="1:12" ht="126" x14ac:dyDescent="0.2">
      <c r="A257" s="116">
        <f t="shared" si="38"/>
        <v>14</v>
      </c>
      <c r="B257" s="94" t="s">
        <v>177</v>
      </c>
      <c r="C257" s="94"/>
      <c r="D257" s="102"/>
      <c r="E257" s="106" t="s">
        <v>181</v>
      </c>
      <c r="F257" s="96">
        <v>1</v>
      </c>
      <c r="G257" s="97">
        <v>0</v>
      </c>
      <c r="H257" s="98">
        <f t="shared" si="36"/>
        <v>1</v>
      </c>
      <c r="I257" s="93" t="s">
        <v>17</v>
      </c>
      <c r="J257" s="99">
        <v>0</v>
      </c>
      <c r="K257" s="108">
        <f t="shared" si="37"/>
        <v>0</v>
      </c>
      <c r="L257" s="109"/>
    </row>
    <row r="258" spans="1:12" ht="110.25" x14ac:dyDescent="0.2">
      <c r="A258" s="116">
        <f t="shared" si="38"/>
        <v>15</v>
      </c>
      <c r="B258" s="94"/>
      <c r="C258" s="94"/>
      <c r="D258" s="102"/>
      <c r="E258" s="106" t="s">
        <v>182</v>
      </c>
      <c r="F258" s="96">
        <v>1</v>
      </c>
      <c r="G258" s="97">
        <v>0</v>
      </c>
      <c r="H258" s="98">
        <f t="shared" si="36"/>
        <v>1</v>
      </c>
      <c r="I258" s="93" t="s">
        <v>17</v>
      </c>
      <c r="J258" s="99">
        <v>0</v>
      </c>
      <c r="K258" s="108">
        <f t="shared" si="37"/>
        <v>0</v>
      </c>
      <c r="L258" s="109"/>
    </row>
    <row r="259" spans="1:12" ht="126" x14ac:dyDescent="0.2">
      <c r="A259" s="116">
        <f t="shared" si="38"/>
        <v>16</v>
      </c>
      <c r="B259" s="94"/>
      <c r="C259" s="94"/>
      <c r="D259" s="102"/>
      <c r="E259" s="106" t="s">
        <v>183</v>
      </c>
      <c r="F259" s="96">
        <v>2</v>
      </c>
      <c r="G259" s="97">
        <v>0</v>
      </c>
      <c r="H259" s="98">
        <f t="shared" si="36"/>
        <v>2</v>
      </c>
      <c r="I259" s="93" t="s">
        <v>17</v>
      </c>
      <c r="J259" s="99">
        <v>0</v>
      </c>
      <c r="K259" s="108">
        <f t="shared" si="37"/>
        <v>0</v>
      </c>
      <c r="L259" s="109"/>
    </row>
    <row r="260" spans="1:12" x14ac:dyDescent="0.2">
      <c r="A260" s="116" t="str">
        <f t="shared" si="38"/>
        <v/>
      </c>
      <c r="B260" s="94"/>
      <c r="C260" s="94"/>
      <c r="D260" s="102"/>
      <c r="E260" s="106"/>
      <c r="F260" s="96"/>
      <c r="G260" s="96"/>
      <c r="H260" s="96"/>
      <c r="I260" s="96"/>
      <c r="J260" s="96"/>
      <c r="K260" s="108"/>
      <c r="L260" s="109"/>
    </row>
    <row r="261" spans="1:12" x14ac:dyDescent="0.2">
      <c r="A261" s="116" t="str">
        <f t="shared" si="38"/>
        <v/>
      </c>
      <c r="B261" s="94"/>
      <c r="C261" s="94"/>
      <c r="D261" s="102"/>
      <c r="E261" s="95" t="s">
        <v>184</v>
      </c>
      <c r="F261" s="96"/>
      <c r="G261" s="97"/>
      <c r="H261" s="98"/>
      <c r="I261" s="93"/>
      <c r="J261" s="99"/>
      <c r="K261" s="108"/>
      <c r="L261" s="109"/>
    </row>
    <row r="262" spans="1:12" ht="204.75" x14ac:dyDescent="0.2">
      <c r="A262" s="116">
        <f t="shared" si="38"/>
        <v>17</v>
      </c>
      <c r="B262" s="94" t="s">
        <v>185</v>
      </c>
      <c r="C262" s="94"/>
      <c r="D262" s="102"/>
      <c r="E262" s="106" t="s">
        <v>186</v>
      </c>
      <c r="F262" s="96">
        <v>1</v>
      </c>
      <c r="G262" s="97">
        <v>0</v>
      </c>
      <c r="H262" s="98">
        <f t="shared" ref="H262:H269" si="39">F262*(1+G262)</f>
        <v>1</v>
      </c>
      <c r="I262" s="93" t="s">
        <v>17</v>
      </c>
      <c r="J262" s="99">
        <v>0</v>
      </c>
      <c r="K262" s="108">
        <f t="shared" ref="K262:K269" si="40">J262*H262</f>
        <v>0</v>
      </c>
      <c r="L262" s="109"/>
    </row>
    <row r="263" spans="1:12" ht="204.75" x14ac:dyDescent="0.2">
      <c r="A263" s="116">
        <f t="shared" si="38"/>
        <v>18</v>
      </c>
      <c r="B263" s="94" t="s">
        <v>185</v>
      </c>
      <c r="C263" s="94"/>
      <c r="D263" s="102"/>
      <c r="E263" s="106" t="s">
        <v>187</v>
      </c>
      <c r="F263" s="96">
        <v>1</v>
      </c>
      <c r="G263" s="97">
        <v>0</v>
      </c>
      <c r="H263" s="98">
        <f t="shared" si="39"/>
        <v>1</v>
      </c>
      <c r="I263" s="93" t="s">
        <v>17</v>
      </c>
      <c r="J263" s="99">
        <v>0</v>
      </c>
      <c r="K263" s="108">
        <f t="shared" si="40"/>
        <v>0</v>
      </c>
      <c r="L263" s="109"/>
    </row>
    <row r="264" spans="1:12" ht="204.75" x14ac:dyDescent="0.2">
      <c r="A264" s="116">
        <f t="shared" si="38"/>
        <v>19</v>
      </c>
      <c r="B264" s="94" t="s">
        <v>185</v>
      </c>
      <c r="C264" s="94"/>
      <c r="D264" s="102"/>
      <c r="E264" s="106" t="s">
        <v>188</v>
      </c>
      <c r="F264" s="96">
        <v>1</v>
      </c>
      <c r="G264" s="97">
        <v>0</v>
      </c>
      <c r="H264" s="98">
        <f t="shared" si="39"/>
        <v>1</v>
      </c>
      <c r="I264" s="93" t="s">
        <v>17</v>
      </c>
      <c r="J264" s="99">
        <v>0</v>
      </c>
      <c r="K264" s="108">
        <f t="shared" si="40"/>
        <v>0</v>
      </c>
      <c r="L264" s="109"/>
    </row>
    <row r="265" spans="1:12" ht="204.75" x14ac:dyDescent="0.2">
      <c r="A265" s="116">
        <f t="shared" si="38"/>
        <v>20</v>
      </c>
      <c r="B265" s="94" t="s">
        <v>185</v>
      </c>
      <c r="C265" s="94"/>
      <c r="D265" s="102"/>
      <c r="E265" s="106" t="s">
        <v>189</v>
      </c>
      <c r="F265" s="96">
        <v>1</v>
      </c>
      <c r="G265" s="97">
        <v>0</v>
      </c>
      <c r="H265" s="98">
        <f t="shared" si="39"/>
        <v>1</v>
      </c>
      <c r="I265" s="93" t="s">
        <v>17</v>
      </c>
      <c r="J265" s="99">
        <v>0</v>
      </c>
      <c r="K265" s="108">
        <f t="shared" si="40"/>
        <v>0</v>
      </c>
      <c r="L265" s="109"/>
    </row>
    <row r="266" spans="1:12" ht="204.75" x14ac:dyDescent="0.2">
      <c r="A266" s="116">
        <f t="shared" si="38"/>
        <v>21</v>
      </c>
      <c r="B266" s="94" t="s">
        <v>185</v>
      </c>
      <c r="C266" s="94"/>
      <c r="D266" s="102"/>
      <c r="E266" s="106" t="s">
        <v>190</v>
      </c>
      <c r="F266" s="96">
        <v>1</v>
      </c>
      <c r="G266" s="97">
        <v>0</v>
      </c>
      <c r="H266" s="98">
        <f t="shared" si="39"/>
        <v>1</v>
      </c>
      <c r="I266" s="93" t="s">
        <v>17</v>
      </c>
      <c r="J266" s="99">
        <v>0</v>
      </c>
      <c r="K266" s="108">
        <f t="shared" si="40"/>
        <v>0</v>
      </c>
      <c r="L266" s="109"/>
    </row>
    <row r="267" spans="1:12" ht="204.75" x14ac:dyDescent="0.2">
      <c r="A267" s="116">
        <f t="shared" si="38"/>
        <v>22</v>
      </c>
      <c r="B267" s="94" t="s">
        <v>185</v>
      </c>
      <c r="C267" s="94"/>
      <c r="D267" s="102"/>
      <c r="E267" s="106" t="s">
        <v>191</v>
      </c>
      <c r="F267" s="96">
        <v>1</v>
      </c>
      <c r="G267" s="97">
        <v>0</v>
      </c>
      <c r="H267" s="98">
        <f t="shared" si="39"/>
        <v>1</v>
      </c>
      <c r="I267" s="93" t="s">
        <v>17</v>
      </c>
      <c r="J267" s="99">
        <v>0</v>
      </c>
      <c r="K267" s="108">
        <f t="shared" si="40"/>
        <v>0</v>
      </c>
      <c r="L267" s="109"/>
    </row>
    <row r="268" spans="1:12" ht="204.75" x14ac:dyDescent="0.2">
      <c r="A268" s="116">
        <f t="shared" si="38"/>
        <v>23</v>
      </c>
      <c r="B268" s="94" t="s">
        <v>185</v>
      </c>
      <c r="C268" s="94"/>
      <c r="D268" s="102"/>
      <c r="E268" s="106" t="s">
        <v>192</v>
      </c>
      <c r="F268" s="96">
        <v>1</v>
      </c>
      <c r="G268" s="97">
        <v>0</v>
      </c>
      <c r="H268" s="98">
        <f t="shared" si="39"/>
        <v>1</v>
      </c>
      <c r="I268" s="93" t="s">
        <v>17</v>
      </c>
      <c r="J268" s="99">
        <v>0</v>
      </c>
      <c r="K268" s="108">
        <f t="shared" si="40"/>
        <v>0</v>
      </c>
      <c r="L268" s="109"/>
    </row>
    <row r="269" spans="1:12" ht="204.75" x14ac:dyDescent="0.2">
      <c r="A269" s="116">
        <f t="shared" si="38"/>
        <v>24</v>
      </c>
      <c r="B269" s="94" t="s">
        <v>185</v>
      </c>
      <c r="C269" s="94"/>
      <c r="D269" s="102"/>
      <c r="E269" s="106" t="s">
        <v>193</v>
      </c>
      <c r="F269" s="96">
        <v>1</v>
      </c>
      <c r="G269" s="97">
        <v>0</v>
      </c>
      <c r="H269" s="98">
        <f t="shared" si="39"/>
        <v>1</v>
      </c>
      <c r="I269" s="93" t="s">
        <v>17</v>
      </c>
      <c r="J269" s="99">
        <v>0</v>
      </c>
      <c r="K269" s="108">
        <f t="shared" si="40"/>
        <v>0</v>
      </c>
      <c r="L269" s="109"/>
    </row>
    <row r="270" spans="1:12" x14ac:dyDescent="0.2">
      <c r="A270" s="116" t="str">
        <f t="shared" si="38"/>
        <v/>
      </c>
      <c r="B270" s="94"/>
      <c r="C270" s="94"/>
      <c r="D270" s="102"/>
      <c r="E270" s="106"/>
      <c r="F270" s="96"/>
      <c r="G270" s="96"/>
      <c r="H270" s="96"/>
      <c r="I270" s="96"/>
      <c r="J270" s="96"/>
      <c r="K270" s="108"/>
      <c r="L270" s="109"/>
    </row>
    <row r="271" spans="1:12" x14ac:dyDescent="0.2">
      <c r="A271" s="116" t="str">
        <f t="shared" si="38"/>
        <v/>
      </c>
      <c r="B271" s="93"/>
      <c r="C271" s="94"/>
      <c r="D271" s="94"/>
      <c r="E271" s="95" t="s">
        <v>205</v>
      </c>
      <c r="F271" s="96"/>
      <c r="G271" s="97"/>
      <c r="H271" s="98"/>
      <c r="I271" s="93"/>
      <c r="J271" s="99"/>
      <c r="K271" s="100"/>
      <c r="L271" s="101"/>
    </row>
    <row r="272" spans="1:12" ht="204.75" x14ac:dyDescent="0.2">
      <c r="A272" s="116">
        <f t="shared" si="38"/>
        <v>25</v>
      </c>
      <c r="B272" s="94" t="s">
        <v>194</v>
      </c>
      <c r="C272" s="94" t="s">
        <v>195</v>
      </c>
      <c r="D272" s="102"/>
      <c r="E272" s="106" t="s">
        <v>196</v>
      </c>
      <c r="F272" s="96">
        <v>4</v>
      </c>
      <c r="G272" s="97">
        <v>0</v>
      </c>
      <c r="H272" s="98">
        <f>F272*(1+G272)</f>
        <v>4</v>
      </c>
      <c r="I272" s="93" t="s">
        <v>17</v>
      </c>
      <c r="J272" s="99">
        <v>0</v>
      </c>
      <c r="K272" s="108">
        <f>J272*H272</f>
        <v>0</v>
      </c>
      <c r="L272" s="109"/>
    </row>
    <row r="273" spans="1:12" ht="141.75" x14ac:dyDescent="0.2">
      <c r="A273" s="116">
        <f t="shared" si="38"/>
        <v>26</v>
      </c>
      <c r="B273" s="94" t="s">
        <v>194</v>
      </c>
      <c r="C273" s="94" t="s">
        <v>197</v>
      </c>
      <c r="D273" s="102"/>
      <c r="E273" s="106" t="s">
        <v>198</v>
      </c>
      <c r="F273" s="96">
        <v>2</v>
      </c>
      <c r="G273" s="97">
        <v>0</v>
      </c>
      <c r="H273" s="98">
        <f>F273*(1+G273)</f>
        <v>2</v>
      </c>
      <c r="I273" s="93" t="s">
        <v>17</v>
      </c>
      <c r="J273" s="99">
        <v>0</v>
      </c>
      <c r="K273" s="108">
        <f>J273*H273</f>
        <v>0</v>
      </c>
      <c r="L273" s="109"/>
    </row>
    <row r="274" spans="1:12" ht="126" x14ac:dyDescent="0.2">
      <c r="A274" s="116">
        <f t="shared" si="38"/>
        <v>27</v>
      </c>
      <c r="B274" s="94" t="s">
        <v>194</v>
      </c>
      <c r="C274" s="94" t="s">
        <v>199</v>
      </c>
      <c r="D274" s="102"/>
      <c r="E274" s="106" t="s">
        <v>200</v>
      </c>
      <c r="F274" s="96">
        <v>1</v>
      </c>
      <c r="G274" s="97">
        <v>0</v>
      </c>
      <c r="H274" s="98">
        <f>F274*(1+G274)</f>
        <v>1</v>
      </c>
      <c r="I274" s="93" t="s">
        <v>17</v>
      </c>
      <c r="J274" s="99">
        <v>0</v>
      </c>
      <c r="K274" s="108">
        <f>J274*H274</f>
        <v>0</v>
      </c>
      <c r="L274" s="109"/>
    </row>
    <row r="275" spans="1:12" ht="220.5" x14ac:dyDescent="0.2">
      <c r="A275" s="116">
        <f t="shared" si="38"/>
        <v>28</v>
      </c>
      <c r="B275" s="94" t="s">
        <v>194</v>
      </c>
      <c r="C275" s="94" t="s">
        <v>201</v>
      </c>
      <c r="D275" s="102"/>
      <c r="E275" s="106" t="s">
        <v>202</v>
      </c>
      <c r="F275" s="96">
        <v>1</v>
      </c>
      <c r="G275" s="97">
        <v>0</v>
      </c>
      <c r="H275" s="98">
        <f>F275*(1+G275)</f>
        <v>1</v>
      </c>
      <c r="I275" s="93" t="s">
        <v>17</v>
      </c>
      <c r="J275" s="99">
        <v>0</v>
      </c>
      <c r="K275" s="108">
        <f>J275*H275</f>
        <v>0</v>
      </c>
      <c r="L275" s="109"/>
    </row>
    <row r="276" spans="1:12" ht="204.75" x14ac:dyDescent="0.2">
      <c r="A276" s="116">
        <f t="shared" si="38"/>
        <v>29</v>
      </c>
      <c r="B276" s="94" t="s">
        <v>194</v>
      </c>
      <c r="C276" s="94" t="s">
        <v>203</v>
      </c>
      <c r="D276" s="102"/>
      <c r="E276" s="106" t="s">
        <v>204</v>
      </c>
      <c r="F276" s="96">
        <v>2</v>
      </c>
      <c r="G276" s="97">
        <v>0</v>
      </c>
      <c r="H276" s="98">
        <f>F276*(1+G276)</f>
        <v>2</v>
      </c>
      <c r="I276" s="93" t="s">
        <v>17</v>
      </c>
      <c r="J276" s="99">
        <v>0</v>
      </c>
      <c r="K276" s="108">
        <f>J276*H276</f>
        <v>0</v>
      </c>
      <c r="L276" s="109"/>
    </row>
    <row r="277" spans="1:12" x14ac:dyDescent="0.2">
      <c r="A277" s="116" t="str">
        <f t="shared" si="38"/>
        <v/>
      </c>
      <c r="B277" s="94"/>
      <c r="C277" s="94"/>
      <c r="D277" s="102"/>
      <c r="E277" s="106"/>
      <c r="F277" s="96"/>
      <c r="G277" s="97"/>
      <c r="H277" s="98"/>
      <c r="I277" s="93"/>
      <c r="J277" s="99"/>
      <c r="K277" s="108"/>
      <c r="L277" s="109"/>
    </row>
    <row r="278" spans="1:12" x14ac:dyDescent="0.2">
      <c r="A278" s="116" t="str">
        <f t="shared" si="38"/>
        <v/>
      </c>
      <c r="B278" s="93"/>
      <c r="C278" s="94"/>
      <c r="D278" s="94"/>
      <c r="E278" s="95" t="s">
        <v>142</v>
      </c>
      <c r="F278" s="96"/>
      <c r="G278" s="97"/>
      <c r="H278" s="98"/>
      <c r="I278" s="93"/>
      <c r="J278" s="99"/>
      <c r="K278" s="100"/>
      <c r="L278" s="101"/>
    </row>
    <row r="279" spans="1:12" x14ac:dyDescent="0.2">
      <c r="A279" s="116" t="str">
        <f t="shared" si="38"/>
        <v/>
      </c>
      <c r="B279" s="117"/>
      <c r="C279" s="117"/>
      <c r="D279" s="118"/>
      <c r="E279" s="128" t="s">
        <v>207</v>
      </c>
      <c r="F279" s="119"/>
      <c r="G279" s="97"/>
      <c r="H279" s="120"/>
      <c r="I279" s="121"/>
      <c r="J279" s="99"/>
      <c r="K279" s="108"/>
      <c r="L279" s="109"/>
    </row>
    <row r="280" spans="1:12" ht="99.75" customHeight="1" x14ac:dyDescent="0.2">
      <c r="A280" s="116">
        <f t="shared" si="38"/>
        <v>30</v>
      </c>
      <c r="B280" s="117" t="s">
        <v>211</v>
      </c>
      <c r="C280" s="117" t="s">
        <v>173</v>
      </c>
      <c r="D280" s="118"/>
      <c r="E280" s="124" t="s">
        <v>213</v>
      </c>
      <c r="F280" s="119">
        <f>2*7.334*14.5</f>
        <v>212.68599999999998</v>
      </c>
      <c r="G280" s="97">
        <v>0.05</v>
      </c>
      <c r="H280" s="120">
        <f>F280*(1+G280)</f>
        <v>223.32029999999997</v>
      </c>
      <c r="I280" s="121" t="s">
        <v>46</v>
      </c>
      <c r="J280" s="99">
        <v>0</v>
      </c>
      <c r="K280" s="108">
        <f>J280*H280</f>
        <v>0</v>
      </c>
      <c r="L280" s="109"/>
    </row>
    <row r="281" spans="1:12" ht="94.5" x14ac:dyDescent="0.2">
      <c r="A281" s="116">
        <f t="shared" si="38"/>
        <v>31</v>
      </c>
      <c r="B281" s="117" t="s">
        <v>215</v>
      </c>
      <c r="C281" s="117" t="s">
        <v>212</v>
      </c>
      <c r="D281" s="118"/>
      <c r="E281" s="124" t="s">
        <v>214</v>
      </c>
      <c r="F281" s="119">
        <f>1*(1.4*4)*36</f>
        <v>201.6</v>
      </c>
      <c r="G281" s="97">
        <v>0.05</v>
      </c>
      <c r="H281" s="120">
        <f>F281*(1+G281)</f>
        <v>211.68</v>
      </c>
      <c r="I281" s="121" t="s">
        <v>46</v>
      </c>
      <c r="J281" s="99">
        <v>0</v>
      </c>
      <c r="K281" s="108">
        <f>J281*H281</f>
        <v>0</v>
      </c>
      <c r="L281" s="109"/>
    </row>
    <row r="282" spans="1:12" ht="36" customHeight="1" x14ac:dyDescent="0.2">
      <c r="A282" s="116" t="str">
        <f t="shared" si="38"/>
        <v/>
      </c>
      <c r="B282" s="117"/>
      <c r="C282" s="117"/>
      <c r="D282" s="118"/>
      <c r="E282" s="128" t="s">
        <v>206</v>
      </c>
      <c r="F282" s="119"/>
      <c r="G282" s="97"/>
      <c r="H282" s="120"/>
      <c r="I282" s="121"/>
      <c r="J282" s="99"/>
      <c r="K282" s="108"/>
      <c r="L282" s="109"/>
    </row>
    <row r="283" spans="1:12" ht="72" customHeight="1" x14ac:dyDescent="0.2">
      <c r="A283" s="116">
        <f t="shared" si="38"/>
        <v>32</v>
      </c>
      <c r="B283" s="117" t="s">
        <v>216</v>
      </c>
      <c r="C283" s="117" t="s">
        <v>174</v>
      </c>
      <c r="D283" s="118"/>
      <c r="E283" s="124" t="s">
        <v>175</v>
      </c>
      <c r="F283" s="119">
        <v>106.7</v>
      </c>
      <c r="G283" s="97">
        <v>0.1</v>
      </c>
      <c r="H283" s="120">
        <f>F283*(1+G283)</f>
        <v>117.37000000000002</v>
      </c>
      <c r="I283" s="121" t="s">
        <v>44</v>
      </c>
      <c r="J283" s="99">
        <v>0</v>
      </c>
      <c r="K283" s="108">
        <f>J283*H283</f>
        <v>0</v>
      </c>
      <c r="L283" s="109"/>
    </row>
    <row r="284" spans="1:12" ht="36" customHeight="1" x14ac:dyDescent="0.2">
      <c r="A284" s="116" t="str">
        <f t="shared" si="38"/>
        <v/>
      </c>
      <c r="B284" s="121"/>
      <c r="C284" s="117"/>
      <c r="D284" s="117"/>
      <c r="E284" s="127"/>
      <c r="F284" s="120"/>
      <c r="G284" s="126"/>
      <c r="H284" s="120"/>
      <c r="I284" s="121"/>
      <c r="J284" s="108"/>
      <c r="K284" s="108"/>
      <c r="L284" s="122"/>
    </row>
    <row r="285" spans="1:12" ht="36" customHeight="1" x14ac:dyDescent="0.2">
      <c r="A285" s="116" t="str">
        <f t="shared" si="38"/>
        <v/>
      </c>
      <c r="B285" s="121"/>
      <c r="C285" s="117"/>
      <c r="D285" s="117"/>
      <c r="E285" s="123" t="s">
        <v>209</v>
      </c>
      <c r="F285" s="119"/>
      <c r="G285" s="126"/>
      <c r="H285" s="120"/>
      <c r="I285" s="121"/>
      <c r="J285" s="108"/>
      <c r="K285" s="129"/>
      <c r="L285" s="21">
        <f>SUM(K237:K284)</f>
        <v>0</v>
      </c>
    </row>
    <row r="286" spans="1:12" ht="36" customHeight="1" x14ac:dyDescent="0.2">
      <c r="A286" s="116" t="str">
        <f t="shared" si="38"/>
        <v/>
      </c>
      <c r="B286" s="121"/>
      <c r="C286" s="117"/>
      <c r="D286" s="117"/>
      <c r="E286" s="124"/>
      <c r="F286" s="119"/>
      <c r="G286" s="126"/>
      <c r="H286" s="120"/>
      <c r="I286" s="121"/>
      <c r="J286" s="99"/>
      <c r="K286" s="108"/>
      <c r="L286" s="109"/>
    </row>
    <row r="287" spans="1:12" ht="36" customHeight="1" thickBot="1" x14ac:dyDescent="0.25">
      <c r="A287" s="136" t="str">
        <f>IF(F287&lt;&gt;"",1+MAX(#REF!),"")</f>
        <v/>
      </c>
      <c r="B287" s="137"/>
      <c r="C287" s="138"/>
      <c r="D287" s="138"/>
      <c r="E287" s="139"/>
      <c r="F287" s="140"/>
      <c r="G287" s="141"/>
      <c r="H287" s="142"/>
      <c r="I287" s="137"/>
      <c r="J287" s="143"/>
      <c r="K287" s="144"/>
      <c r="L287" s="145"/>
    </row>
    <row r="288" spans="1:12" ht="36" customHeight="1" x14ac:dyDescent="0.2">
      <c r="A288" s="146" t="s">
        <v>13</v>
      </c>
      <c r="B288" s="147"/>
      <c r="C288" s="147"/>
      <c r="D288" s="147"/>
      <c r="E288" s="148"/>
      <c r="F288" s="149"/>
      <c r="G288" s="150"/>
      <c r="H288" s="150"/>
      <c r="I288" s="151"/>
      <c r="J288" s="152"/>
      <c r="K288" s="153">
        <f>(SUM(K237:K287))</f>
        <v>0</v>
      </c>
      <c r="L288" s="154">
        <f>SUM(L237:L287)</f>
        <v>0</v>
      </c>
    </row>
    <row r="289" spans="1:12" ht="36" customHeight="1" x14ac:dyDescent="0.2">
      <c r="A289" s="45" t="s">
        <v>12</v>
      </c>
      <c r="B289" s="36"/>
      <c r="C289" s="36"/>
      <c r="D289" s="36"/>
      <c r="E289" s="37"/>
      <c r="F289" s="38"/>
      <c r="G289" s="39"/>
      <c r="H289" s="39"/>
      <c r="I289" s="40"/>
      <c r="J289" s="41">
        <v>0.3</v>
      </c>
      <c r="K289" s="42">
        <f>K288*J289</f>
        <v>0</v>
      </c>
      <c r="L289" s="46">
        <f>L288*J289</f>
        <v>0</v>
      </c>
    </row>
    <row r="290" spans="1:12" ht="36" customHeight="1" x14ac:dyDescent="0.2">
      <c r="A290" s="45" t="s">
        <v>151</v>
      </c>
      <c r="B290" s="36"/>
      <c r="C290" s="36"/>
      <c r="D290" s="36"/>
      <c r="E290" s="37"/>
      <c r="F290" s="38"/>
      <c r="G290" s="39"/>
      <c r="H290" s="39"/>
      <c r="I290" s="40"/>
      <c r="J290" s="41">
        <v>0.05</v>
      </c>
      <c r="K290" s="42">
        <f>K288*J290</f>
        <v>0</v>
      </c>
      <c r="L290" s="46">
        <f>L288*J290</f>
        <v>0</v>
      </c>
    </row>
    <row r="291" spans="1:12" ht="36" customHeight="1" thickBot="1" x14ac:dyDescent="0.25">
      <c r="A291" s="47" t="s">
        <v>210</v>
      </c>
      <c r="B291" s="48"/>
      <c r="C291" s="48"/>
      <c r="D291" s="48"/>
      <c r="E291" s="49"/>
      <c r="F291" s="50"/>
      <c r="G291" s="51"/>
      <c r="H291" s="52"/>
      <c r="I291" s="48"/>
      <c r="J291" s="53"/>
      <c r="K291" s="54">
        <f>SUM(K288:K290)</f>
        <v>0</v>
      </c>
      <c r="L291" s="55">
        <f>SUM(L288:L290)</f>
        <v>0</v>
      </c>
    </row>
  </sheetData>
  <mergeCells count="1">
    <mergeCell ref="A236:L236"/>
  </mergeCells>
  <pageMargins left="0.25" right="0.25" top="0.75" bottom="0.75" header="0.3" footer="0.3"/>
  <pageSetup scale="69" fitToHeight="0" orientation="landscape" r:id="rId1"/>
  <headerFooter>
    <oddHeader>&amp;C
&amp;G</oddHeader>
    <oddFooter>&amp;C&amp;P of &amp;N</oddFooter>
  </headerFooter>
  <rowBreaks count="7" manualBreakCount="7">
    <brk id="23" max="11" man="1"/>
    <brk id="211" max="11" man="1"/>
    <brk id="234" max="11" man="1"/>
    <brk id="267" max="11" man="1"/>
    <brk id="270" max="11" man="1"/>
    <brk id="274" max="11" man="1"/>
    <brk id="280" max="11"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STRUCTURAL STEEL</vt:lpstr>
      <vt:lpstr>'STRUCTURAL STEEL'!Print_Area</vt:lpstr>
      <vt:lpstr>'STRUCTURAL STEEL'!Print_Titles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2013-07-08T09:36:48Z</dcterms:created>
  <dcterms:modified xsi:type="dcterms:W3CDTF">2026-05-07T16:03:27Z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ies>
</file>