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filterPrivacy="1" codeName="ThisWorkbook" defaultThemeVersion="124226"/>
  <xr:revisionPtr revIDLastSave="113" documentId="13_ncr:1_{B219C3A7-021F-43B5-91F4-B232BE9C6950}" xr6:coauthVersionLast="47" xr6:coauthVersionMax="47" xr10:uidLastSave="{4F814A18-3CA5-4106-B3E6-7C491FF10288}"/>
  <bookViews>
    <workbookView xWindow="20370" yWindow="-120" windowWidth="29040" windowHeight="15840" xr2:uid="{00000000-000D-0000-FFFF-FFFF00000000}"/>
  </bookViews>
  <sheets>
    <sheet name="BUILDING CONCRETE" sheetId="20" r:id="rId1"/>
  </sheets>
  <definedNames>
    <definedName name="_xlnm._FilterDatabase" localSheetId="0" hidden="1">'BUILDING CONCRETE'!$C$1:$L$109</definedName>
    <definedName name="_xlnm.Print_Area" localSheetId="0">'BUILDING CONCRETE'!$A$1:$M$253</definedName>
    <definedName name="_xlnm.Print_Titles" localSheetId="0">'BUILDING CONCRETE'!$1:$6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77" i="20" l="1"/>
  <c r="A247" i="20"/>
  <c r="L246" i="20"/>
  <c r="H246" i="20"/>
  <c r="A246" i="20"/>
  <c r="A245" i="20"/>
  <c r="A244" i="20"/>
  <c r="L243" i="20"/>
  <c r="H243" i="20"/>
  <c r="A243" i="20"/>
  <c r="A242" i="20"/>
  <c r="F240" i="20"/>
  <c r="H240" i="20" s="1"/>
  <c r="K239" i="20"/>
  <c r="J239" i="20"/>
  <c r="H239" i="20"/>
  <c r="A239" i="20"/>
  <c r="K238" i="20"/>
  <c r="J238" i="20"/>
  <c r="F238" i="20"/>
  <c r="A238" i="20" s="1"/>
  <c r="A237" i="20"/>
  <c r="K236" i="20"/>
  <c r="J236" i="20"/>
  <c r="F236" i="20"/>
  <c r="H236" i="20" s="1"/>
  <c r="K235" i="20"/>
  <c r="J235" i="20"/>
  <c r="F235" i="20"/>
  <c r="A235" i="20" s="1"/>
  <c r="A234" i="20"/>
  <c r="F233" i="20"/>
  <c r="H233" i="20" s="1"/>
  <c r="F231" i="20"/>
  <c r="H231" i="20" s="1"/>
  <c r="K230" i="20"/>
  <c r="J230" i="20"/>
  <c r="H230" i="20"/>
  <c r="A230" i="20"/>
  <c r="L229" i="20"/>
  <c r="H229" i="20"/>
  <c r="D229" i="20"/>
  <c r="A229" i="20"/>
  <c r="A228" i="20"/>
  <c r="F227" i="20"/>
  <c r="H227" i="20" s="1"/>
  <c r="F225" i="20"/>
  <c r="A225" i="20" s="1"/>
  <c r="K224" i="20"/>
  <c r="J224" i="20"/>
  <c r="H224" i="20"/>
  <c r="A224" i="20"/>
  <c r="L223" i="20"/>
  <c r="H223" i="20"/>
  <c r="D223" i="20" s="1"/>
  <c r="A223" i="20"/>
  <c r="A222" i="20"/>
  <c r="A221" i="20"/>
  <c r="H219" i="20"/>
  <c r="A219" i="20"/>
  <c r="K218" i="20"/>
  <c r="J218" i="20"/>
  <c r="F217" i="20"/>
  <c r="H217" i="20" s="1"/>
  <c r="F216" i="20"/>
  <c r="H216" i="20" s="1"/>
  <c r="K215" i="20"/>
  <c r="J215" i="20"/>
  <c r="F215" i="20"/>
  <c r="A215" i="20" s="1"/>
  <c r="A214" i="20"/>
  <c r="A213" i="20"/>
  <c r="A212" i="20"/>
  <c r="L210" i="20"/>
  <c r="H210" i="20"/>
  <c r="A210" i="20"/>
  <c r="K209" i="20"/>
  <c r="J209" i="20"/>
  <c r="F208" i="20"/>
  <c r="A208" i="20" s="1"/>
  <c r="F207" i="20"/>
  <c r="A207" i="20" s="1"/>
  <c r="K206" i="20"/>
  <c r="J206" i="20"/>
  <c r="F206" i="20"/>
  <c r="A206" i="20" s="1"/>
  <c r="A205" i="20"/>
  <c r="A204" i="20"/>
  <c r="A203" i="20"/>
  <c r="L202" i="20"/>
  <c r="F202" i="20"/>
  <c r="A202" i="20" s="1"/>
  <c r="F201" i="20"/>
  <c r="H201" i="20" s="1"/>
  <c r="F200" i="20"/>
  <c r="A200" i="20" s="1"/>
  <c r="K199" i="20"/>
  <c r="J199" i="20"/>
  <c r="F199" i="20"/>
  <c r="A199" i="20" s="1"/>
  <c r="A198" i="20"/>
  <c r="A197" i="20"/>
  <c r="A196" i="20"/>
  <c r="L195" i="20"/>
  <c r="H195" i="20"/>
  <c r="A195" i="20"/>
  <c r="K194" i="20"/>
  <c r="J194" i="20"/>
  <c r="K193" i="20"/>
  <c r="J193" i="20"/>
  <c r="F193" i="20"/>
  <c r="H193" i="20" s="1"/>
  <c r="L192" i="20"/>
  <c r="F192" i="20"/>
  <c r="H192" i="20" s="1"/>
  <c r="F191" i="20"/>
  <c r="H191" i="20" s="1"/>
  <c r="K190" i="20"/>
  <c r="J190" i="20"/>
  <c r="F190" i="20"/>
  <c r="A190" i="20" s="1"/>
  <c r="A189" i="20"/>
  <c r="A188" i="20"/>
  <c r="A187" i="20"/>
  <c r="K186" i="20"/>
  <c r="J186" i="20"/>
  <c r="F186" i="20"/>
  <c r="H186" i="20" s="1"/>
  <c r="K185" i="20"/>
  <c r="J185" i="20"/>
  <c r="K184" i="20"/>
  <c r="J184" i="20"/>
  <c r="F184" i="20"/>
  <c r="H184" i="20" s="1"/>
  <c r="K183" i="20"/>
  <c r="J183" i="20"/>
  <c r="F183" i="20"/>
  <c r="A183" i="20" s="1"/>
  <c r="K182" i="20"/>
  <c r="J182" i="20"/>
  <c r="F182" i="20"/>
  <c r="H182" i="20" s="1"/>
  <c r="A181" i="20"/>
  <c r="A180" i="20"/>
  <c r="A179" i="20"/>
  <c r="F178" i="20"/>
  <c r="A178" i="20" s="1"/>
  <c r="F177" i="20"/>
  <c r="A177" i="20" s="1"/>
  <c r="F175" i="20"/>
  <c r="A175" i="20" s="1"/>
  <c r="K174" i="20"/>
  <c r="J174" i="20"/>
  <c r="F173" i="20"/>
  <c r="F176" i="20" s="1"/>
  <c r="L172" i="20"/>
  <c r="H172" i="20"/>
  <c r="A172" i="20"/>
  <c r="L171" i="20"/>
  <c r="H171" i="20"/>
  <c r="D171" i="20" s="1"/>
  <c r="A171" i="20"/>
  <c r="A170" i="20"/>
  <c r="F169" i="20"/>
  <c r="A169" i="20" s="1"/>
  <c r="L167" i="20"/>
  <c r="F167" i="20"/>
  <c r="A167" i="20" s="1"/>
  <c r="L166" i="20"/>
  <c r="F165" i="20"/>
  <c r="H165" i="20" s="1"/>
  <c r="L164" i="20"/>
  <c r="H164" i="20"/>
  <c r="A164" i="20"/>
  <c r="L163" i="20"/>
  <c r="H163" i="20"/>
  <c r="D163" i="20" s="1"/>
  <c r="A163" i="20"/>
  <c r="A162" i="20"/>
  <c r="A161" i="20"/>
  <c r="A160" i="20"/>
  <c r="K159" i="20"/>
  <c r="J159" i="20"/>
  <c r="K158" i="20"/>
  <c r="J158" i="20"/>
  <c r="F158" i="20"/>
  <c r="H158" i="20" s="1"/>
  <c r="F157" i="20"/>
  <c r="H157" i="20" s="1"/>
  <c r="F156" i="20"/>
  <c r="A156" i="20" s="1"/>
  <c r="K155" i="20"/>
  <c r="J155" i="20"/>
  <c r="F155" i="20"/>
  <c r="A155" i="20" s="1"/>
  <c r="K154" i="20"/>
  <c r="J154" i="20"/>
  <c r="F154" i="20"/>
  <c r="H154" i="20" s="1"/>
  <c r="A153" i="20"/>
  <c r="A152" i="20"/>
  <c r="K151" i="20"/>
  <c r="J151" i="20"/>
  <c r="K150" i="20"/>
  <c r="J150" i="20"/>
  <c r="F150" i="20"/>
  <c r="H150" i="20" s="1"/>
  <c r="L149" i="20"/>
  <c r="F149" i="20"/>
  <c r="A149" i="20" s="1"/>
  <c r="F148" i="20"/>
  <c r="H148" i="20" s="1"/>
  <c r="F147" i="20"/>
  <c r="L146" i="20"/>
  <c r="F146" i="20"/>
  <c r="H146" i="20" s="1"/>
  <c r="K145" i="20"/>
  <c r="J145" i="20"/>
  <c r="F145" i="20"/>
  <c r="A144" i="20"/>
  <c r="A143" i="20"/>
  <c r="A142" i="20"/>
  <c r="L141" i="20"/>
  <c r="F141" i="20"/>
  <c r="H141" i="20" s="1"/>
  <c r="A140" i="20"/>
  <c r="A139" i="20"/>
  <c r="L138" i="20"/>
  <c r="L137" i="20"/>
  <c r="L136" i="20"/>
  <c r="F136" i="20"/>
  <c r="H136" i="20" s="1"/>
  <c r="L135" i="20"/>
  <c r="F135" i="20"/>
  <c r="H135" i="20" s="1"/>
  <c r="D135" i="20" s="1"/>
  <c r="A134" i="20"/>
  <c r="A133" i="20"/>
  <c r="K132" i="20"/>
  <c r="J132" i="20"/>
  <c r="K131" i="20"/>
  <c r="J131" i="20"/>
  <c r="F131" i="20"/>
  <c r="H131" i="20" s="1"/>
  <c r="K130" i="20"/>
  <c r="J130" i="20"/>
  <c r="F130" i="20"/>
  <c r="K129" i="20"/>
  <c r="J129" i="20"/>
  <c r="F129" i="20"/>
  <c r="H129" i="20" s="1"/>
  <c r="A128" i="20"/>
  <c r="A127" i="20"/>
  <c r="A126" i="20"/>
  <c r="K125" i="20"/>
  <c r="J125" i="20"/>
  <c r="K124" i="20"/>
  <c r="J124" i="20"/>
  <c r="F124" i="20"/>
  <c r="A124" i="20" s="1"/>
  <c r="K123" i="20"/>
  <c r="J123" i="20"/>
  <c r="F123" i="20"/>
  <c r="K122" i="20"/>
  <c r="J122" i="20"/>
  <c r="F122" i="20"/>
  <c r="A122" i="20" s="1"/>
  <c r="A121" i="20"/>
  <c r="A120" i="20"/>
  <c r="A119" i="20"/>
  <c r="L118" i="20"/>
  <c r="L117" i="20"/>
  <c r="F117" i="20"/>
  <c r="A117" i="20" s="1"/>
  <c r="L116" i="20"/>
  <c r="F116" i="20"/>
  <c r="L115" i="20"/>
  <c r="F115" i="20"/>
  <c r="A114" i="20"/>
  <c r="A113" i="20"/>
  <c r="A112" i="20"/>
  <c r="A233" i="20" l="1"/>
  <c r="L224" i="20"/>
  <c r="L218" i="20"/>
  <c r="L183" i="20"/>
  <c r="A227" i="20"/>
  <c r="A236" i="20"/>
  <c r="L182" i="20"/>
  <c r="M182" i="20" s="1"/>
  <c r="A192" i="20"/>
  <c r="L238" i="20"/>
  <c r="L239" i="20"/>
  <c r="M239" i="20" s="1"/>
  <c r="L151" i="20"/>
  <c r="A154" i="20"/>
  <c r="L155" i="20"/>
  <c r="A158" i="20"/>
  <c r="F159" i="20"/>
  <c r="A159" i="20" s="1"/>
  <c r="M192" i="20"/>
  <c r="L124" i="20"/>
  <c r="L129" i="20"/>
  <c r="M129" i="20" s="1"/>
  <c r="A141" i="20"/>
  <c r="H202" i="20"/>
  <c r="M202" i="20" s="1"/>
  <c r="L159" i="20"/>
  <c r="A193" i="20"/>
  <c r="L194" i="20"/>
  <c r="F209" i="20"/>
  <c r="H209" i="20" s="1"/>
  <c r="A216" i="20"/>
  <c r="L230" i="20"/>
  <c r="M230" i="20" s="1"/>
  <c r="L130" i="20"/>
  <c r="M172" i="20"/>
  <c r="H199" i="20"/>
  <c r="H122" i="20"/>
  <c r="L123" i="20"/>
  <c r="M141" i="20"/>
  <c r="A146" i="20"/>
  <c r="A148" i="20"/>
  <c r="A157" i="20"/>
  <c r="H169" i="20"/>
  <c r="L199" i="20"/>
  <c r="M199" i="20" s="1"/>
  <c r="H206" i="20"/>
  <c r="H207" i="20"/>
  <c r="A217" i="20"/>
  <c r="H235" i="20"/>
  <c r="H200" i="20"/>
  <c r="M136" i="20"/>
  <c r="L150" i="20"/>
  <c r="M150" i="20" s="1"/>
  <c r="M164" i="20"/>
  <c r="L174" i="20"/>
  <c r="L186" i="20"/>
  <c r="M186" i="20" s="1"/>
  <c r="A191" i="20"/>
  <c r="L235" i="20"/>
  <c r="M235" i="20" s="1"/>
  <c r="M246" i="20"/>
  <c r="A130" i="20"/>
  <c r="H130" i="20"/>
  <c r="A147" i="20"/>
  <c r="H147" i="20"/>
  <c r="A115" i="20"/>
  <c r="H115" i="20"/>
  <c r="M115" i="20" s="1"/>
  <c r="M135" i="20"/>
  <c r="A116" i="20"/>
  <c r="H116" i="20"/>
  <c r="M116" i="20" s="1"/>
  <c r="H123" i="20"/>
  <c r="A123" i="20"/>
  <c r="A145" i="20"/>
  <c r="H145" i="20"/>
  <c r="M224" i="20"/>
  <c r="H225" i="20"/>
  <c r="F226" i="20"/>
  <c r="H226" i="20" s="1"/>
  <c r="L131" i="20"/>
  <c r="M131" i="20" s="1"/>
  <c r="M146" i="20"/>
  <c r="A150" i="20"/>
  <c r="H167" i="20"/>
  <c r="M167" i="20" s="1"/>
  <c r="L184" i="20"/>
  <c r="M184" i="20" s="1"/>
  <c r="A186" i="20"/>
  <c r="L190" i="20"/>
  <c r="M195" i="20"/>
  <c r="L206" i="20"/>
  <c r="L209" i="20"/>
  <c r="L215" i="20"/>
  <c r="M223" i="20"/>
  <c r="M229" i="20"/>
  <c r="F232" i="20"/>
  <c r="A232" i="20" s="1"/>
  <c r="H175" i="20"/>
  <c r="H183" i="20"/>
  <c r="H208" i="20"/>
  <c r="M210" i="20"/>
  <c r="F218" i="20"/>
  <c r="A218" i="20" s="1"/>
  <c r="L125" i="20"/>
  <c r="F151" i="20"/>
  <c r="H151" i="20" s="1"/>
  <c r="L154" i="20"/>
  <c r="M154" i="20" s="1"/>
  <c r="L158" i="20"/>
  <c r="M158" i="20" s="1"/>
  <c r="M163" i="20"/>
  <c r="L193" i="20"/>
  <c r="M193" i="20" s="1"/>
  <c r="L236" i="20"/>
  <c r="M236" i="20" s="1"/>
  <c r="H176" i="20"/>
  <c r="A176" i="20"/>
  <c r="H124" i="20"/>
  <c r="F137" i="20"/>
  <c r="A135" i="20"/>
  <c r="A136" i="20"/>
  <c r="F138" i="20"/>
  <c r="L145" i="20"/>
  <c r="H149" i="20"/>
  <c r="M149" i="20" s="1"/>
  <c r="H155" i="20"/>
  <c r="M155" i="20" s="1"/>
  <c r="F166" i="20"/>
  <c r="A165" i="20"/>
  <c r="H173" i="20"/>
  <c r="H177" i="20"/>
  <c r="F194" i="20"/>
  <c r="A231" i="20"/>
  <c r="H238" i="20"/>
  <c r="M238" i="20" s="1"/>
  <c r="F118" i="20"/>
  <c r="H117" i="20"/>
  <c r="M117" i="20" s="1"/>
  <c r="F125" i="20"/>
  <c r="F174" i="20"/>
  <c r="A240" i="20"/>
  <c r="M243" i="20"/>
  <c r="L122" i="20"/>
  <c r="A129" i="20"/>
  <c r="F132" i="20"/>
  <c r="A131" i="20"/>
  <c r="L132" i="20"/>
  <c r="H156" i="20"/>
  <c r="F168" i="20"/>
  <c r="M171" i="20"/>
  <c r="A173" i="20"/>
  <c r="H178" i="20"/>
  <c r="A182" i="20"/>
  <c r="F185" i="20"/>
  <c r="A184" i="20"/>
  <c r="L185" i="20"/>
  <c r="H190" i="20"/>
  <c r="A201" i="20"/>
  <c r="H215" i="20"/>
  <c r="M183" i="20" l="1"/>
  <c r="M145" i="20"/>
  <c r="H159" i="20"/>
  <c r="M151" i="20"/>
  <c r="H218" i="20"/>
  <c r="M218" i="20" s="1"/>
  <c r="M190" i="20"/>
  <c r="M159" i="20"/>
  <c r="M124" i="20"/>
  <c r="A151" i="20"/>
  <c r="M209" i="20"/>
  <c r="M215" i="20"/>
  <c r="M123" i="20"/>
  <c r="A209" i="20"/>
  <c r="A226" i="20"/>
  <c r="M130" i="20"/>
  <c r="M122" i="20"/>
  <c r="H232" i="20"/>
  <c r="M206" i="20"/>
  <c r="A125" i="20"/>
  <c r="H125" i="20"/>
  <c r="M125" i="20" s="1"/>
  <c r="A138" i="20"/>
  <c r="H138" i="20"/>
  <c r="M138" i="20" s="1"/>
  <c r="H132" i="20"/>
  <c r="M132" i="20" s="1"/>
  <c r="A132" i="20"/>
  <c r="H194" i="20"/>
  <c r="M194" i="20" s="1"/>
  <c r="A194" i="20"/>
  <c r="H185" i="20"/>
  <c r="M185" i="20" s="1"/>
  <c r="A185" i="20"/>
  <c r="A168" i="20"/>
  <c r="H168" i="20"/>
  <c r="H118" i="20"/>
  <c r="M118" i="20" s="1"/>
  <c r="A118" i="20"/>
  <c r="A166" i="20"/>
  <c r="H166" i="20"/>
  <c r="M166" i="20" s="1"/>
  <c r="A174" i="20"/>
  <c r="H174" i="20"/>
  <c r="M174" i="20" s="1"/>
  <c r="H137" i="20"/>
  <c r="M137" i="20" s="1"/>
  <c r="A137" i="20"/>
  <c r="A15" i="20"/>
  <c r="A16" i="20"/>
  <c r="A22" i="20"/>
  <c r="A23" i="20"/>
  <c r="A29" i="20"/>
  <c r="A30" i="20"/>
  <c r="A36" i="20"/>
  <c r="A37" i="20"/>
  <c r="A43" i="20"/>
  <c r="A44" i="20"/>
  <c r="A50" i="20"/>
  <c r="A51" i="20"/>
  <c r="A53" i="20"/>
  <c r="A54" i="20"/>
  <c r="A55" i="20"/>
  <c r="A60" i="20"/>
  <c r="A61" i="20"/>
  <c r="A66" i="20"/>
  <c r="A67" i="20"/>
  <c r="A72" i="20"/>
  <c r="A73" i="20"/>
  <c r="A78" i="20"/>
  <c r="A79" i="20"/>
  <c r="A87" i="20"/>
  <c r="A95" i="20"/>
  <c r="A100" i="20"/>
  <c r="K21" i="20" l="1"/>
  <c r="J21" i="20"/>
  <c r="L21" i="20" l="1"/>
  <c r="A8" i="20" l="1"/>
  <c r="A9" i="20"/>
  <c r="J65" i="20"/>
  <c r="K65" i="20"/>
  <c r="J71" i="20"/>
  <c r="K71" i="20"/>
  <c r="J76" i="20"/>
  <c r="K76" i="20"/>
  <c r="J19" i="20"/>
  <c r="K19" i="20"/>
  <c r="J26" i="20"/>
  <c r="K26" i="20"/>
  <c r="J33" i="20"/>
  <c r="K33" i="20"/>
  <c r="J40" i="20"/>
  <c r="K40" i="20"/>
  <c r="J47" i="20"/>
  <c r="K47" i="20"/>
  <c r="J102" i="20"/>
  <c r="J219" i="20" s="1"/>
  <c r="K102" i="20"/>
  <c r="K219" i="20" s="1"/>
  <c r="J92" i="20"/>
  <c r="K92" i="20"/>
  <c r="J90" i="20"/>
  <c r="K90" i="20"/>
  <c r="J94" i="20"/>
  <c r="K94" i="20"/>
  <c r="J93" i="20"/>
  <c r="K93" i="20"/>
  <c r="J97" i="20"/>
  <c r="K97" i="20"/>
  <c r="J18" i="20"/>
  <c r="K18" i="20"/>
  <c r="J25" i="20"/>
  <c r="K25" i="20"/>
  <c r="J32" i="20"/>
  <c r="K32" i="20"/>
  <c r="J39" i="20"/>
  <c r="K39" i="20"/>
  <c r="J46" i="20"/>
  <c r="K46" i="20"/>
  <c r="J57" i="20"/>
  <c r="K57" i="20"/>
  <c r="J58" i="20"/>
  <c r="K58" i="20"/>
  <c r="J63" i="20"/>
  <c r="K63" i="20"/>
  <c r="J64" i="20"/>
  <c r="K64" i="20"/>
  <c r="J69" i="20"/>
  <c r="K69" i="20"/>
  <c r="J70" i="20"/>
  <c r="K70" i="20"/>
  <c r="J75" i="20"/>
  <c r="K75" i="20"/>
  <c r="J98" i="20"/>
  <c r="K98" i="20"/>
  <c r="J99" i="20"/>
  <c r="K99" i="20"/>
  <c r="J103" i="20"/>
  <c r="K103" i="20"/>
  <c r="J17" i="20"/>
  <c r="K17" i="20"/>
  <c r="J24" i="20"/>
  <c r="K24" i="20"/>
  <c r="J31" i="20"/>
  <c r="K31" i="20"/>
  <c r="J38" i="20"/>
  <c r="K38" i="20"/>
  <c r="J45" i="20"/>
  <c r="K45" i="20"/>
  <c r="J56" i="20"/>
  <c r="K56" i="20"/>
  <c r="J62" i="20"/>
  <c r="J175" i="20" s="1"/>
  <c r="K62" i="20"/>
  <c r="K175" i="20" s="1"/>
  <c r="J68" i="20"/>
  <c r="K68" i="20"/>
  <c r="J74" i="20"/>
  <c r="K74" i="20"/>
  <c r="J96" i="20"/>
  <c r="K96" i="20"/>
  <c r="J101" i="20"/>
  <c r="K101" i="20"/>
  <c r="J28" i="20"/>
  <c r="K28" i="20"/>
  <c r="J35" i="20"/>
  <c r="K35" i="20"/>
  <c r="J42" i="20"/>
  <c r="K42" i="20"/>
  <c r="J49" i="20"/>
  <c r="K49" i="20"/>
  <c r="J105" i="20"/>
  <c r="K105" i="20"/>
  <c r="J91" i="20"/>
  <c r="K91" i="20"/>
  <c r="J20" i="20"/>
  <c r="K20" i="20"/>
  <c r="J27" i="20"/>
  <c r="K27" i="20"/>
  <c r="J34" i="20"/>
  <c r="K34" i="20"/>
  <c r="J41" i="20"/>
  <c r="K41" i="20"/>
  <c r="J48" i="20"/>
  <c r="K48" i="20"/>
  <c r="J104" i="20"/>
  <c r="K104" i="20"/>
  <c r="L219" i="20" l="1"/>
  <c r="M219" i="20" s="1"/>
  <c r="L175" i="20"/>
  <c r="M175" i="20" s="1"/>
  <c r="J176" i="20"/>
  <c r="J168" i="20"/>
  <c r="J226" i="20"/>
  <c r="J232" i="20"/>
  <c r="K225" i="20"/>
  <c r="K208" i="20"/>
  <c r="K173" i="20"/>
  <c r="K165" i="20"/>
  <c r="K156" i="20"/>
  <c r="K148" i="20"/>
  <c r="K147" i="20"/>
  <c r="K201" i="20"/>
  <c r="K217" i="20"/>
  <c r="K216" i="20"/>
  <c r="K178" i="20"/>
  <c r="K231" i="20"/>
  <c r="K207" i="20"/>
  <c r="K200" i="20"/>
  <c r="K240" i="20"/>
  <c r="K191" i="20"/>
  <c r="K157" i="20"/>
  <c r="K169" i="20"/>
  <c r="K233" i="20"/>
  <c r="K227" i="20"/>
  <c r="K177" i="20"/>
  <c r="J217" i="20"/>
  <c r="J216" i="20"/>
  <c r="J191" i="20"/>
  <c r="L191" i="20" s="1"/>
  <c r="M191" i="20" s="1"/>
  <c r="J178" i="20"/>
  <c r="J157" i="20"/>
  <c r="J207" i="20"/>
  <c r="J200" i="20"/>
  <c r="J240" i="20"/>
  <c r="J201" i="20"/>
  <c r="J225" i="20"/>
  <c r="J208" i="20"/>
  <c r="J173" i="20"/>
  <c r="J165" i="20"/>
  <c r="J156" i="20"/>
  <c r="J148" i="20"/>
  <c r="J147" i="20"/>
  <c r="J231" i="20"/>
  <c r="J233" i="20"/>
  <c r="L233" i="20" s="1"/>
  <c r="M233" i="20" s="1"/>
  <c r="J227" i="20"/>
  <c r="J177" i="20"/>
  <c r="L177" i="20" s="1"/>
  <c r="M177" i="20" s="1"/>
  <c r="J169" i="20"/>
  <c r="L169" i="20" s="1"/>
  <c r="M169" i="20" s="1"/>
  <c r="K226" i="20"/>
  <c r="K176" i="20"/>
  <c r="K168" i="20"/>
  <c r="K232" i="20"/>
  <c r="L156" i="20" l="1"/>
  <c r="M156" i="20" s="1"/>
  <c r="L225" i="20"/>
  <c r="M225" i="20" s="1"/>
  <c r="L207" i="20"/>
  <c r="M207" i="20" s="1"/>
  <c r="L168" i="20"/>
  <c r="M168" i="20" s="1"/>
  <c r="L148" i="20"/>
  <c r="M148" i="20" s="1"/>
  <c r="L208" i="20"/>
  <c r="M208" i="20" s="1"/>
  <c r="L200" i="20"/>
  <c r="M200" i="20" s="1"/>
  <c r="L216" i="20"/>
  <c r="M216" i="20" s="1"/>
  <c r="L157" i="20"/>
  <c r="M157" i="20" s="1"/>
  <c r="L217" i="20"/>
  <c r="M217" i="20" s="1"/>
  <c r="L147" i="20"/>
  <c r="M147" i="20" s="1"/>
  <c r="L173" i="20"/>
  <c r="M173" i="20" s="1"/>
  <c r="L178" i="20"/>
  <c r="M178" i="20" s="1"/>
  <c r="L201" i="20"/>
  <c r="M201" i="20" s="1"/>
  <c r="L227" i="20"/>
  <c r="M227" i="20" s="1"/>
  <c r="L232" i="20"/>
  <c r="M232" i="20" s="1"/>
  <c r="L240" i="20"/>
  <c r="M240" i="20" s="1"/>
  <c r="L226" i="20"/>
  <c r="M226" i="20" s="1"/>
  <c r="L231" i="20"/>
  <c r="M231" i="20" s="1"/>
  <c r="L165" i="20"/>
  <c r="M165" i="20" s="1"/>
  <c r="L176" i="20"/>
  <c r="M176" i="20" s="1"/>
  <c r="M247" i="20" l="1"/>
  <c r="M248" i="20" s="1"/>
  <c r="M249" i="20" s="1"/>
  <c r="M250" i="20" l="1"/>
  <c r="L248" i="20"/>
  <c r="M251" i="20"/>
  <c r="F104" i="20"/>
  <c r="F103" i="20"/>
  <c r="H103" i="20" s="1"/>
  <c r="F102" i="20"/>
  <c r="H102" i="20" s="1"/>
  <c r="F101" i="20"/>
  <c r="F20" i="20"/>
  <c r="F18" i="20"/>
  <c r="F19" i="20"/>
  <c r="F17" i="20"/>
  <c r="L14" i="20"/>
  <c r="L13" i="20"/>
  <c r="F13" i="20"/>
  <c r="L12" i="20"/>
  <c r="F12" i="20"/>
  <c r="L11" i="20"/>
  <c r="F11" i="20"/>
  <c r="L10" i="20"/>
  <c r="F10" i="20"/>
  <c r="F99" i="20"/>
  <c r="H99" i="20" s="1"/>
  <c r="L99" i="20"/>
  <c r="F98" i="20"/>
  <c r="H98" i="20" s="1"/>
  <c r="F96" i="20"/>
  <c r="H96" i="20" s="1"/>
  <c r="L98" i="20"/>
  <c r="L105" i="20"/>
  <c r="L104" i="20"/>
  <c r="H104" i="20"/>
  <c r="L103" i="20"/>
  <c r="L102" i="20"/>
  <c r="L101" i="20"/>
  <c r="L96" i="20"/>
  <c r="H97" i="20"/>
  <c r="L97" i="20"/>
  <c r="L86" i="20"/>
  <c r="F86" i="20"/>
  <c r="H86" i="20" s="1"/>
  <c r="L85" i="20"/>
  <c r="L84" i="20"/>
  <c r="L83" i="20"/>
  <c r="L82" i="20"/>
  <c r="F82" i="20"/>
  <c r="F85" i="20" s="1"/>
  <c r="H85" i="20" s="1"/>
  <c r="L81" i="20"/>
  <c r="H81" i="20"/>
  <c r="H80" i="20"/>
  <c r="D80" i="20" s="1"/>
  <c r="F94" i="20"/>
  <c r="H94" i="20" s="1"/>
  <c r="F90" i="20"/>
  <c r="F92" i="20" s="1"/>
  <c r="L93" i="20"/>
  <c r="L94" i="20"/>
  <c r="F76" i="20"/>
  <c r="F75" i="20"/>
  <c r="F74" i="20"/>
  <c r="F71" i="20"/>
  <c r="H71" i="20" s="1"/>
  <c r="F70" i="20"/>
  <c r="H70" i="20" s="1"/>
  <c r="F69" i="20"/>
  <c r="H69" i="20" s="1"/>
  <c r="F68" i="20"/>
  <c r="H68" i="20" s="1"/>
  <c r="L70" i="20"/>
  <c r="F65" i="20"/>
  <c r="H65" i="20" s="1"/>
  <c r="F64" i="20"/>
  <c r="H64" i="20" s="1"/>
  <c r="F63" i="20"/>
  <c r="H63" i="20" s="1"/>
  <c r="F57" i="20"/>
  <c r="H57" i="20" s="1"/>
  <c r="F62" i="20"/>
  <c r="H62" i="20" s="1"/>
  <c r="L64" i="20"/>
  <c r="F59" i="20"/>
  <c r="H59" i="20" s="1"/>
  <c r="F58" i="20"/>
  <c r="H58" i="20" s="1"/>
  <c r="F56" i="20"/>
  <c r="H56" i="20" s="1"/>
  <c r="L58" i="20"/>
  <c r="L71" i="20"/>
  <c r="L69" i="20"/>
  <c r="L68" i="20"/>
  <c r="L65" i="20"/>
  <c r="L63" i="20"/>
  <c r="L62" i="20"/>
  <c r="L59" i="20"/>
  <c r="L57" i="20"/>
  <c r="L56" i="20"/>
  <c r="H52" i="20"/>
  <c r="L52" i="20"/>
  <c r="F41" i="20"/>
  <c r="F39" i="20"/>
  <c r="H39" i="20" s="1"/>
  <c r="F40" i="20"/>
  <c r="H40" i="20" s="1"/>
  <c r="F38" i="20"/>
  <c r="H38" i="20" s="1"/>
  <c r="F48" i="20"/>
  <c r="F47" i="20"/>
  <c r="H47" i="20" s="1"/>
  <c r="F46" i="20"/>
  <c r="H46" i="20" s="1"/>
  <c r="F45" i="20"/>
  <c r="H45" i="20" s="1"/>
  <c r="F34" i="20"/>
  <c r="H34" i="20" s="1"/>
  <c r="F33" i="20"/>
  <c r="H33" i="20" s="1"/>
  <c r="F32" i="20"/>
  <c r="F31" i="20"/>
  <c r="H31" i="20" s="1"/>
  <c r="F27" i="20"/>
  <c r="H27" i="20" s="1"/>
  <c r="F26" i="20"/>
  <c r="F25" i="20"/>
  <c r="F24" i="20"/>
  <c r="L42" i="20"/>
  <c r="L41" i="20"/>
  <c r="L40" i="20"/>
  <c r="L39" i="20"/>
  <c r="L38" i="20"/>
  <c r="L49" i="20"/>
  <c r="L48" i="20"/>
  <c r="L47" i="20"/>
  <c r="L46" i="20"/>
  <c r="L45" i="20"/>
  <c r="L35" i="20"/>
  <c r="L34" i="20"/>
  <c r="L33" i="20"/>
  <c r="L32" i="20"/>
  <c r="H32" i="20"/>
  <c r="L31" i="20"/>
  <c r="L28" i="20"/>
  <c r="L27" i="20"/>
  <c r="L26" i="20"/>
  <c r="L25" i="20"/>
  <c r="L24" i="20"/>
  <c r="F21" i="20" l="1"/>
  <c r="H101" i="20"/>
  <c r="M101" i="20" s="1"/>
  <c r="H26" i="20"/>
  <c r="M26" i="20" s="1"/>
  <c r="H25" i="20"/>
  <c r="M25" i="20" s="1"/>
  <c r="H11" i="20"/>
  <c r="H13" i="20"/>
  <c r="M13" i="20" s="1"/>
  <c r="H10" i="20"/>
  <c r="M10" i="20" s="1"/>
  <c r="H12" i="20"/>
  <c r="M12" i="20" s="1"/>
  <c r="M11" i="20"/>
  <c r="M103" i="20"/>
  <c r="F105" i="20"/>
  <c r="H105" i="20" s="1"/>
  <c r="M105" i="20" s="1"/>
  <c r="F91" i="20"/>
  <c r="H91" i="20" s="1"/>
  <c r="F14" i="20"/>
  <c r="M104" i="20"/>
  <c r="M99" i="20"/>
  <c r="M102" i="20"/>
  <c r="M96" i="20"/>
  <c r="M98" i="20"/>
  <c r="F93" i="20"/>
  <c r="H93" i="20" s="1"/>
  <c r="M93" i="20" s="1"/>
  <c r="M97" i="20"/>
  <c r="M94" i="20"/>
  <c r="M81" i="20"/>
  <c r="M86" i="20"/>
  <c r="H82" i="20"/>
  <c r="M82" i="20" s="1"/>
  <c r="M85" i="20"/>
  <c r="F83" i="20"/>
  <c r="H83" i="20" s="1"/>
  <c r="M83" i="20" s="1"/>
  <c r="F84" i="20"/>
  <c r="H84" i="20" s="1"/>
  <c r="M84" i="20" s="1"/>
  <c r="M56" i="20"/>
  <c r="M68" i="20"/>
  <c r="M58" i="20"/>
  <c r="M64" i="20"/>
  <c r="M62" i="20"/>
  <c r="M63" i="20"/>
  <c r="F49" i="20"/>
  <c r="H49" i="20" s="1"/>
  <c r="M49" i="20" s="1"/>
  <c r="F42" i="20"/>
  <c r="H42" i="20" s="1"/>
  <c r="M42" i="20" s="1"/>
  <c r="M71" i="20"/>
  <c r="M70" i="20"/>
  <c r="M69" i="20"/>
  <c r="M65" i="20"/>
  <c r="M59" i="20"/>
  <c r="M57" i="20"/>
  <c r="M33" i="20"/>
  <c r="F28" i="20"/>
  <c r="H28" i="20" s="1"/>
  <c r="M28" i="20" s="1"/>
  <c r="H24" i="20"/>
  <c r="M24" i="20" s="1"/>
  <c r="H48" i="20"/>
  <c r="M48" i="20" s="1"/>
  <c r="M40" i="20"/>
  <c r="H41" i="20"/>
  <c r="M41" i="20" s="1"/>
  <c r="M47" i="20"/>
  <c r="M39" i="20"/>
  <c r="F35" i="20"/>
  <c r="H35" i="20" s="1"/>
  <c r="M35" i="20" s="1"/>
  <c r="M52" i="20"/>
  <c r="M38" i="20"/>
  <c r="M46" i="20"/>
  <c r="M45" i="20"/>
  <c r="M34" i="20"/>
  <c r="M32" i="20"/>
  <c r="M31" i="20"/>
  <c r="M27" i="20"/>
  <c r="L20" i="20"/>
  <c r="H20" i="20"/>
  <c r="L19" i="20"/>
  <c r="H19" i="20"/>
  <c r="L18" i="20"/>
  <c r="H18" i="20"/>
  <c r="L17" i="20"/>
  <c r="H17" i="20"/>
  <c r="L76" i="20"/>
  <c r="H76" i="20"/>
  <c r="L75" i="20"/>
  <c r="H75" i="20"/>
  <c r="L74" i="20"/>
  <c r="H74" i="20"/>
  <c r="L92" i="20"/>
  <c r="H92" i="20"/>
  <c r="L91" i="20"/>
  <c r="L90" i="20"/>
  <c r="H90" i="20"/>
  <c r="L89" i="20"/>
  <c r="H89" i="20"/>
  <c r="H88" i="20"/>
  <c r="D88" i="20" s="1"/>
  <c r="H21" i="20" l="1"/>
  <c r="M21" i="20" s="1"/>
  <c r="H14" i="20"/>
  <c r="M14" i="20" s="1"/>
  <c r="L80" i="20"/>
  <c r="M80" i="20" s="1"/>
  <c r="M91" i="20"/>
  <c r="M18" i="20"/>
  <c r="M92" i="20"/>
  <c r="M76" i="20"/>
  <c r="M19" i="20"/>
  <c r="M75" i="20"/>
  <c r="M17" i="20"/>
  <c r="M20" i="20"/>
  <c r="M89" i="20"/>
  <c r="M90" i="20"/>
  <c r="M74" i="20"/>
  <c r="L88" i="20" l="1"/>
  <c r="M88" i="20" s="1"/>
  <c r="A7" i="20" l="1"/>
  <c r="A10" i="20" l="1"/>
  <c r="A11" i="20" l="1"/>
  <c r="A12" i="20" l="1"/>
  <c r="A13" i="20" s="1"/>
  <c r="A14" i="20" l="1"/>
  <c r="A17" i="20" s="1"/>
  <c r="A18" i="20" s="1"/>
  <c r="A19" i="20" s="1"/>
  <c r="A20" i="20" s="1"/>
  <c r="A21" i="20" s="1"/>
  <c r="A24" i="20" s="1"/>
  <c r="A25" i="20" s="1"/>
  <c r="A26" i="20" s="1"/>
  <c r="A27" i="20" s="1"/>
  <c r="A28" i="20" s="1"/>
  <c r="A31" i="20" s="1"/>
  <c r="A32" i="20" s="1"/>
  <c r="A33" i="20" s="1"/>
  <c r="A34" i="20" s="1"/>
  <c r="A35" i="20" s="1"/>
  <c r="A38" i="20" s="1"/>
  <c r="A39" i="20" s="1"/>
  <c r="A40" i="20" s="1"/>
  <c r="A41" i="20" s="1"/>
  <c r="A42" i="20" s="1"/>
  <c r="A45" i="20" s="1"/>
  <c r="A46" i="20" s="1"/>
  <c r="A47" i="20" s="1"/>
  <c r="A48" i="20" s="1"/>
  <c r="A49" i="20" s="1"/>
  <c r="A52" i="20" s="1"/>
  <c r="A56" i="20" s="1"/>
  <c r="A57" i="20" s="1"/>
  <c r="A58" i="20" s="1"/>
  <c r="A59" i="20" s="1"/>
  <c r="A62" i="20" s="1"/>
  <c r="A63" i="20" s="1"/>
  <c r="A64" i="20" s="1"/>
  <c r="A65" i="20" s="1"/>
  <c r="A68" i="20" s="1"/>
  <c r="A69" i="20" s="1"/>
  <c r="A70" i="20" s="1"/>
  <c r="A71" i="20" s="1"/>
  <c r="A74" i="20" s="1"/>
  <c r="A75" i="20" s="1"/>
  <c r="A76" i="20" s="1"/>
  <c r="A80" i="20" s="1"/>
  <c r="A81" i="20" s="1"/>
  <c r="A82" i="20" s="1"/>
  <c r="A83" i="20" s="1"/>
  <c r="A84" i="20" s="1"/>
  <c r="A85" i="20" s="1"/>
  <c r="A86" i="20" s="1"/>
  <c r="A88" i="20" s="1"/>
  <c r="A89" i="20" s="1"/>
  <c r="A90" i="20" s="1"/>
  <c r="A91" i="20" s="1"/>
  <c r="A92" i="20" s="1"/>
  <c r="A93" i="20" s="1"/>
  <c r="A94" i="20" s="1"/>
  <c r="A96" i="20" s="1"/>
  <c r="A97" i="20" s="1"/>
  <c r="A98" i="20" s="1"/>
  <c r="A99" i="20" s="1"/>
  <c r="A101" i="20" s="1"/>
  <c r="A102" i="20" s="1"/>
  <c r="A103" i="20" s="1"/>
  <c r="A104" i="20" s="1"/>
  <c r="A105" i="20" s="1"/>
  <c r="M106" i="20" l="1"/>
  <c r="C5" i="20" l="1"/>
</calcChain>
</file>

<file path=xl/sharedStrings.xml><?xml version="1.0" encoding="utf-8"?>
<sst xmlns="http://schemas.openxmlformats.org/spreadsheetml/2006/main" count="713" uniqueCount="159">
  <si>
    <t>UNIT</t>
  </si>
  <si>
    <t>DESCRIPTION</t>
  </si>
  <si>
    <t>WASTE</t>
  </si>
  <si>
    <t>QTY. W/ WASTE</t>
  </si>
  <si>
    <t>TOTAL COST</t>
  </si>
  <si>
    <t>PROJECT</t>
  </si>
  <si>
    <t>ADDRESS</t>
  </si>
  <si>
    <t>Date of submission</t>
  </si>
  <si>
    <t>Date of plans</t>
  </si>
  <si>
    <t>SR #</t>
  </si>
  <si>
    <t>SUB - TOTAL</t>
  </si>
  <si>
    <t>Sheet
No.</t>
  </si>
  <si>
    <t>Detail
No.</t>
  </si>
  <si>
    <t>CSI
No.</t>
  </si>
  <si>
    <t>03 00 00</t>
  </si>
  <si>
    <t>CONCRETE</t>
  </si>
  <si>
    <t>CY</t>
  </si>
  <si>
    <t>LB</t>
  </si>
  <si>
    <t>SFCA</t>
  </si>
  <si>
    <t>Backfill</t>
  </si>
  <si>
    <t>QTY.</t>
  </si>
  <si>
    <t xml:space="preserve"> Concrete Sub Total</t>
  </si>
  <si>
    <t xml:space="preserve"> </t>
  </si>
  <si>
    <t>OVERHEAD &amp; PROFIT</t>
  </si>
  <si>
    <t>TOTAL UNIT COST</t>
  </si>
  <si>
    <t>UNIT COST
(Material)</t>
  </si>
  <si>
    <t xml:space="preserve">UNIT COST
(Labor) </t>
  </si>
  <si>
    <t>Excavation Using Hydraulic Backhoe 1/2 C.Y.</t>
  </si>
  <si>
    <t>CONTINGENCY &amp; ESCALATION</t>
  </si>
  <si>
    <t>BUILDING CONCRETE</t>
  </si>
  <si>
    <t xml:space="preserve">Site Concrete </t>
  </si>
  <si>
    <t>Exclusions</t>
  </si>
  <si>
    <t>Curbs &amp; Gutter</t>
  </si>
  <si>
    <t>TOTAL SITE CONCRETE</t>
  </si>
  <si>
    <t xml:space="preserve">TOTAL BUILDING CONCRETE </t>
  </si>
  <si>
    <t>A10</t>
  </si>
  <si>
    <t>S9.0</t>
  </si>
  <si>
    <t>GATE POST FOOTING</t>
  </si>
  <si>
    <t>Plan</t>
  </si>
  <si>
    <t>CONCRETE SIDEWALK</t>
  </si>
  <si>
    <t>4" Edge form</t>
  </si>
  <si>
    <t>C1.0</t>
  </si>
  <si>
    <t>D2.0</t>
  </si>
  <si>
    <t>SF</t>
  </si>
  <si>
    <t>LF</t>
  </si>
  <si>
    <t>STAMPED FINISH</t>
  </si>
  <si>
    <t>PAD FOOTING</t>
  </si>
  <si>
    <t>S2.0</t>
  </si>
  <si>
    <t>Plan sch</t>
  </si>
  <si>
    <t>7#7 EW TB</t>
  </si>
  <si>
    <t>Column diamonds</t>
  </si>
  <si>
    <t>EA</t>
  </si>
  <si>
    <t>CONCRETE PIER</t>
  </si>
  <si>
    <t>4#6 Hair pin</t>
  </si>
  <si>
    <t>6#5+8#5 Hair pin</t>
  </si>
  <si>
    <t>3#3 Dowels</t>
  </si>
  <si>
    <t>SLAB ON GRADE</t>
  </si>
  <si>
    <t>6" Thick slab on grade</t>
  </si>
  <si>
    <t>6" Edge form</t>
  </si>
  <si>
    <t>6,7/S5.0</t>
  </si>
  <si>
    <t>1#5 Cont</t>
  </si>
  <si>
    <t>2#4x4'</t>
  </si>
  <si>
    <t>TURN DOWN</t>
  </si>
  <si>
    <t>2#5 Cont</t>
  </si>
  <si>
    <t>10,11/S5.0</t>
  </si>
  <si>
    <t>6#7 EW TB</t>
  </si>
  <si>
    <t>TRASH ENCLOSURE WALL FOOTING</t>
  </si>
  <si>
    <t>4#5 Cont TB</t>
  </si>
  <si>
    <t>CMU dowels</t>
  </si>
  <si>
    <t>3,4,5/S9.0</t>
  </si>
  <si>
    <t>TRASH ENCLOSURE SLAB ON GRADE</t>
  </si>
  <si>
    <t>Assumed</t>
  </si>
  <si>
    <t>BOLLARD FOOTING</t>
  </si>
  <si>
    <t>D1.0</t>
  </si>
  <si>
    <t>6" Gravel</t>
  </si>
  <si>
    <t>CANOPY FOOTING</t>
  </si>
  <si>
    <t>CS2.0</t>
  </si>
  <si>
    <t>8#8 EW TB</t>
  </si>
  <si>
    <t>PIERS</t>
  </si>
  <si>
    <t>12 #6 Dowels</t>
  </si>
  <si>
    <t>LIGHT POLE FOOTING</t>
  </si>
  <si>
    <t>24" Dia x 5'-6" Sonotube</t>
  </si>
  <si>
    <t>S-1 R-3</t>
  </si>
  <si>
    <t>MONUMENT SIGN FOOTING</t>
  </si>
  <si>
    <t>Sht #2</t>
  </si>
  <si>
    <t>HEAVY DUTY CONCRETE PAVEMENT</t>
  </si>
  <si>
    <t>MISC PAD</t>
  </si>
  <si>
    <t>STANDARD DUTY CONCRETE PAVEMENT</t>
  </si>
  <si>
    <t>TRAFFIC SIGNAL POST FOOTING</t>
  </si>
  <si>
    <t>TRANSFORMER PAD</t>
  </si>
  <si>
    <t>Formwork pad</t>
  </si>
  <si>
    <t>TRUNCATED DOMES</t>
  </si>
  <si>
    <t>VALLEY GUTTER</t>
  </si>
  <si>
    <t>EXTERIOR IMPROVEMENT</t>
  </si>
  <si>
    <t>32 00 00</t>
  </si>
  <si>
    <t>SIGNAGES FOOTING</t>
  </si>
  <si>
    <t>Item: F5x13
Length: 13'-0"
Width: 5'-0"
Depth: 2'-6"
Count: 01 EA</t>
  </si>
  <si>
    <t>Item: F6
Length: 6'-0"
Width: 6'-0"
Depth: 2'-0"
Count: 03 EA</t>
  </si>
  <si>
    <t>Item: F6x24x30"
Length: 24'-0"
Width: 6'-0"
Depth: 2'-6"
Count: 03 EA</t>
  </si>
  <si>
    <t>Item: F6x21x30"
Length: 21'-0"
Width: 6'
Depth: 2'-6"
Count: 01 EA</t>
  </si>
  <si>
    <t>Item: F7
Length: 7'-0"
Width: 7'-0"
Depth: 2'-0"
Count: 02 EA</t>
  </si>
  <si>
    <t>Item: F8
Length: 8'-0"
Width: 8'-0"
Depth: 2'-0"
Count: 01 EA</t>
  </si>
  <si>
    <t>Item: P4(Non-Structural Pier)
Length: 3'-5"
Width: 3'-0"
Depth: 3'-0"
Count: 01 EA</t>
  </si>
  <si>
    <t>4" Thick Slab On Grade</t>
  </si>
  <si>
    <t>Concrete (4000 Psi)</t>
  </si>
  <si>
    <t>#7 @ 10" O.C. EW TB</t>
  </si>
  <si>
    <t>#3 @ 6" O.C. Ties</t>
  </si>
  <si>
    <t>#4 @ 6" O.C. Ties</t>
  </si>
  <si>
    <t>#3 @ 12" O.C. Ties</t>
  </si>
  <si>
    <t>#5 @ 12" O.C.</t>
  </si>
  <si>
    <t>Formwork (Pad Footing)</t>
  </si>
  <si>
    <t>Formwork (Pier)</t>
  </si>
  <si>
    <t>Item: P1(Structural Pier)
Length: 2'-0"
Width: 2'-0"
Depth: 1'-8"
Count: 08 EA</t>
  </si>
  <si>
    <t>Item: P2(Structural Pier)
Length: 3'-6"
Width: 3'-6"
Depth: 1'-8"
Count: 08 EA</t>
  </si>
  <si>
    <t>Item: P3(Non-Structural Pier)
Length: 3'-5"
Width: 2'-3 1/2"
Depth: 3'-0"
Count: 01 EA</t>
  </si>
  <si>
    <t xml:space="preserve">4" Thick Slab On Grade (4000 Psi) W/
- 6x6 W1.4xW1.4 </t>
  </si>
  <si>
    <t>4" Edge Form</t>
  </si>
  <si>
    <t>15 Mil Vapor Barrier</t>
  </si>
  <si>
    <t>4" Aggregate Base</t>
  </si>
  <si>
    <t>Termite Treatment</t>
  </si>
  <si>
    <t>Control Joint</t>
  </si>
  <si>
    <t>Expansion Joint</t>
  </si>
  <si>
    <t xml:space="preserve">6" Thick Slab On Grade (4000 Psi) W/
- 6x6 W1.4xW1.4 </t>
  </si>
  <si>
    <t>THICKENED EDGE</t>
  </si>
  <si>
    <t>Formwork (Turn Down)</t>
  </si>
  <si>
    <t>Diameter: 2'-0"
Depth: 4'-0"
Count: 04 EA.</t>
  </si>
  <si>
    <t>Diameter: 2'-0"
Depth: 4'-0"
Count: 13 EA</t>
  </si>
  <si>
    <t>Diameter: 2'-0"
Depth: 4'-0"
Count: 01 EA</t>
  </si>
  <si>
    <t>Item: WF3
Length: 45'-0"
Width: 3'-0"
Depth: 1'-0"</t>
  </si>
  <si>
    <t>Diamter: 1'-6"
Depth: 4'-0"
Count: 103 EA</t>
  </si>
  <si>
    <t>Item: F7.5
Length: 7'-6"
Width: 7'-6"
Depth: 2'-0"
Count: 16 EA</t>
  </si>
  <si>
    <t>Item: P1
Length: 2'-8"
Width: 2'-8"
Depth: 2'-6"
Count: 16 EA</t>
  </si>
  <si>
    <t>Diameter: 2'-0"
Depth: 5'-6"
Count: 16EA</t>
  </si>
  <si>
    <t>Diameter: 2'
Depth: 5'-6"
Count: 03 EA</t>
  </si>
  <si>
    <t>Formwork (Circular Footing)</t>
  </si>
  <si>
    <t xml:space="preserve">4" Thick Sidewalk (4000 Psi) W/ 
- Polymer Fiber Additive </t>
  </si>
  <si>
    <t>8" Edge Form</t>
  </si>
  <si>
    <t>6" Edge Form</t>
  </si>
  <si>
    <t>Stamped Finish</t>
  </si>
  <si>
    <t>#5 @ 18" O.C. Transverse TB</t>
  </si>
  <si>
    <t>#5 @ 12" O.C. Dowels</t>
  </si>
  <si>
    <t>#5 @ 12" O.C. EW</t>
  </si>
  <si>
    <t>#4 @ 12" O.C. Ties</t>
  </si>
  <si>
    <t>Formwork (Wall Footing)</t>
  </si>
  <si>
    <t>Excavation (Hand Dig)</t>
  </si>
  <si>
    <t>8" Thick Slab On Grade</t>
  </si>
  <si>
    <t>8" Thick Slab On Grade (4000 Psi)</t>
  </si>
  <si>
    <t>6#6 Vertical Bars</t>
  </si>
  <si>
    <t>8" Thick Pavement (4000 Psi)</t>
  </si>
  <si>
    <t>6" Thick Pavement (4000 Psi)</t>
  </si>
  <si>
    <t>Truncated Domes</t>
  </si>
  <si>
    <t>Valley Gutter</t>
  </si>
  <si>
    <t>6" Thick Slab On Grade (4000 Psi)</t>
  </si>
  <si>
    <t>6" Thick Slab On Grade</t>
  </si>
  <si>
    <t>-</t>
  </si>
  <si>
    <t>Column Isolation Joints</t>
  </si>
  <si>
    <t>E-mail: estimate@msbestimating.com</t>
  </si>
  <si>
    <t xml:space="preserve">Contact: </t>
  </si>
  <si>
    <t>(305)-813-0053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</si>
</sst>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&quot;$&quot;#,##0"/>
    <numFmt numFmtId="165" formatCode="_(&quot;$&quot;* #,##0_);_(&quot;$&quot;* \(#,##0\);_(&quot;$&quot;* &quot;-&quot;??_);_(@_)"/>
    <numFmt numFmtId="166" formatCode="_(&quot;$&quot;* #,##0_);_(&quot;$&quot;* \(#,##0\);_(&quot;$&quot;* &quot;-&quot;?_);_(@_)"/>
    <numFmt numFmtId="167" formatCode="_(&quot;$&quot;* #,##0.00_);_(&quot;$&quot;* \(#,##0.00\);_(&quot;$&quot;* &quot;-&quot;?_);_(@_)"/>
    <numFmt numFmtId="168" formatCode="[$-F800]dddd\,\ mmmm\ dd\,\ yyyy"/>
    <numFmt numFmtId="169" formatCode="_(* #,##0.00_);_(* \(#,##0.00\);_(* &quot;-&quot;_);_(@_)"/>
    <numFmt numFmtId="170" formatCode="0\ &quot;CY&quot;"/>
  </numFmts>
  <fonts count="39" x14ac:knownFonts="1">
    <font>
      <sz val="12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Verdana"/>
      <family val="2"/>
    </font>
    <font>
      <sz val="12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2"/>
      <name val="Arial"/>
      <family val="2"/>
    </font>
    <font>
      <sz val="10"/>
      <name val="Arial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0"/>
      <name val="Calibri"/>
      <family val="2"/>
      <scheme val="minor"/>
    </font>
    <font>
      <u/>
      <sz val="12"/>
      <color theme="10"/>
      <name val="Arial"/>
      <family val="2"/>
    </font>
    <font>
      <sz val="12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2"/>
      <color theme="0"/>
      <name val="Arial"/>
      <family val="2"/>
    </font>
    <font>
      <b/>
      <sz val="12"/>
      <color theme="0"/>
      <name val="Verdana"/>
      <family val="2"/>
    </font>
    <font>
      <b/>
      <i/>
      <sz val="12"/>
      <color rgb="FF002060"/>
      <name val="Calibri"/>
      <family val="2"/>
      <scheme val="minor"/>
    </font>
    <font>
      <i/>
      <sz val="12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12"/>
      <name val="Arial"/>
    </font>
    <font>
      <b/>
      <i/>
      <sz val="12"/>
      <name val="Calibri"/>
      <family val="2"/>
      <scheme val="minor"/>
    </font>
    <font>
      <b/>
      <u/>
      <sz val="12"/>
      <name val="Calibri"/>
      <family val="2"/>
      <scheme val="minor"/>
    </font>
    <font>
      <b/>
      <sz val="16"/>
      <name val="Calibri"/>
      <family val="2"/>
      <scheme val="minor"/>
    </font>
  </fonts>
  <fills count="30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/>
        <bgColor indexed="64"/>
      </patternFill>
    </fill>
    <fill>
      <patternFill patternType="solid">
        <fgColor rgb="FFFED2DC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249977111117893"/>
        <bgColor indexed="64"/>
      </patternFill>
    </fill>
  </fills>
  <borders count="3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58">
    <xf numFmtId="0" fontId="0" fillId="0" borderId="0"/>
    <xf numFmtId="0" fontId="5" fillId="2" borderId="0" applyNumberFormat="0" applyBorder="0" applyAlignment="0" applyProtection="0"/>
    <xf numFmtId="0" fontId="5" fillId="3" borderId="0" applyNumberFormat="0" applyBorder="0" applyAlignment="0" applyProtection="0"/>
    <xf numFmtId="0" fontId="5" fillId="4" borderId="0" applyNumberFormat="0" applyBorder="0" applyAlignment="0" applyProtection="0"/>
    <xf numFmtId="0" fontId="5" fillId="5" borderId="0" applyNumberFormat="0" applyBorder="0" applyAlignment="0" applyProtection="0"/>
    <xf numFmtId="0" fontId="5" fillId="6" borderId="0" applyNumberFormat="0" applyBorder="0" applyAlignment="0" applyProtection="0"/>
    <xf numFmtId="0" fontId="5" fillId="7" borderId="0" applyNumberFormat="0" applyBorder="0" applyAlignment="0" applyProtection="0"/>
    <xf numFmtId="0" fontId="5" fillId="8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5" borderId="0" applyNumberFormat="0" applyBorder="0" applyAlignment="0" applyProtection="0"/>
    <xf numFmtId="0" fontId="5" fillId="8" borderId="0" applyNumberFormat="0" applyBorder="0" applyAlignment="0" applyProtection="0"/>
    <xf numFmtId="0" fontId="5" fillId="11" borderId="0" applyNumberFormat="0" applyBorder="0" applyAlignment="0" applyProtection="0"/>
    <xf numFmtId="0" fontId="6" fillId="12" borderId="0" applyNumberFormat="0" applyBorder="0" applyAlignment="0" applyProtection="0"/>
    <xf numFmtId="0" fontId="6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5" borderId="0" applyNumberFormat="0" applyBorder="0" applyAlignment="0" applyProtection="0"/>
    <xf numFmtId="0" fontId="6" fillId="16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9" borderId="0" applyNumberFormat="0" applyBorder="0" applyAlignment="0" applyProtection="0"/>
    <xf numFmtId="0" fontId="7" fillId="3" borderId="0" applyNumberFormat="0" applyBorder="0" applyAlignment="0" applyProtection="0"/>
    <xf numFmtId="0" fontId="8" fillId="20" borderId="1" applyNumberFormat="0" applyAlignment="0" applyProtection="0"/>
    <xf numFmtId="0" fontId="9" fillId="21" borderId="2" applyNumberFormat="0" applyAlignment="0" applyProtection="0"/>
    <xf numFmtId="0" fontId="10" fillId="0" borderId="0" applyNumberFormat="0" applyFill="0" applyBorder="0" applyAlignment="0" applyProtection="0"/>
    <xf numFmtId="0" fontId="11" fillId="4" borderId="0" applyNumberFormat="0" applyBorder="0" applyAlignment="0" applyProtection="0"/>
    <xf numFmtId="0" fontId="12" fillId="0" borderId="3" applyNumberFormat="0" applyFill="0" applyAlignment="0" applyProtection="0"/>
    <xf numFmtId="0" fontId="13" fillId="0" borderId="4" applyNumberFormat="0" applyFill="0" applyAlignment="0" applyProtection="0"/>
    <xf numFmtId="0" fontId="14" fillId="0" borderId="5" applyNumberFormat="0" applyFill="0" applyAlignment="0" applyProtection="0"/>
    <xf numFmtId="0" fontId="14" fillId="0" borderId="0" applyNumberFormat="0" applyFill="0" applyBorder="0" applyAlignment="0" applyProtection="0"/>
    <xf numFmtId="0" fontId="15" fillId="7" borderId="1" applyNumberFormat="0" applyAlignment="0" applyProtection="0"/>
    <xf numFmtId="0" fontId="16" fillId="0" borderId="6" applyNumberFormat="0" applyFill="0" applyAlignment="0" applyProtection="0"/>
    <xf numFmtId="0" fontId="17" fillId="22" borderId="0" applyNumberFormat="0" applyBorder="0" applyAlignment="0" applyProtection="0"/>
    <xf numFmtId="0" fontId="4" fillId="0" borderId="0"/>
    <xf numFmtId="0" fontId="4" fillId="23" borderId="7" applyNumberFormat="0" applyFont="0" applyAlignment="0" applyProtection="0"/>
    <xf numFmtId="0" fontId="18" fillId="20" borderId="8" applyNumberFormat="0" applyAlignment="0" applyProtection="0"/>
    <xf numFmtId="0" fontId="19" fillId="0" borderId="0" applyNumberFormat="0" applyFill="0" applyBorder="0" applyAlignment="0" applyProtection="0"/>
    <xf numFmtId="0" fontId="20" fillId="0" borderId="9" applyNumberFormat="0" applyFill="0" applyAlignment="0" applyProtection="0"/>
    <xf numFmtId="0" fontId="21" fillId="0" borderId="0" applyNumberFormat="0" applyFill="0" applyBorder="0" applyAlignment="0" applyProtection="0"/>
    <xf numFmtId="0" fontId="2" fillId="0" borderId="0"/>
    <xf numFmtId="0" fontId="22" fillId="0" borderId="0"/>
    <xf numFmtId="0" fontId="4" fillId="0" borderId="0"/>
    <xf numFmtId="43" fontId="22" fillId="0" borderId="0" applyFont="0" applyFill="0" applyBorder="0" applyAlignment="0" applyProtection="0"/>
    <xf numFmtId="0" fontId="23" fillId="0" borderId="0"/>
    <xf numFmtId="43" fontId="4" fillId="0" borderId="0" applyFont="0" applyFill="0" applyBorder="0" applyAlignment="0" applyProtection="0"/>
    <xf numFmtId="0" fontId="4" fillId="0" borderId="0"/>
    <xf numFmtId="44" fontId="23" fillId="0" borderId="0" applyFont="0" applyFill="0" applyBorder="0" applyAlignment="0" applyProtection="0"/>
    <xf numFmtId="0" fontId="1" fillId="0" borderId="0"/>
    <xf numFmtId="0" fontId="4" fillId="0" borderId="0"/>
    <xf numFmtId="0" fontId="1" fillId="0" borderId="0"/>
    <xf numFmtId="0" fontId="27" fillId="0" borderId="0" applyNumberFormat="0" applyFill="0" applyBorder="0" applyAlignment="0" applyProtection="0"/>
    <xf numFmtId="44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35" fillId="0" borderId="0" applyFont="0" applyFill="0" applyBorder="0" applyAlignment="0" applyProtection="0"/>
  </cellStyleXfs>
  <cellXfs count="173">
    <xf numFmtId="0" fontId="0" fillId="0" borderId="0" xfId="0"/>
    <xf numFmtId="0" fontId="24" fillId="24" borderId="16" xfId="0" applyFont="1" applyFill="1" applyBorder="1" applyAlignment="1">
      <alignment horizontal="center" vertical="top"/>
    </xf>
    <xf numFmtId="0" fontId="24" fillId="24" borderId="12" xfId="0" applyFont="1" applyFill="1" applyBorder="1" applyAlignment="1">
      <alignment horizontal="left" vertical="top"/>
    </xf>
    <xf numFmtId="165" fontId="25" fillId="0" borderId="21" xfId="55" applyNumberFormat="1" applyFont="1" applyFill="1" applyBorder="1" applyAlignment="1">
      <alignment horizontal="center" vertical="top"/>
    </xf>
    <xf numFmtId="0" fontId="24" fillId="0" borderId="0" xfId="45" applyFont="1" applyAlignment="1">
      <alignment vertical="top"/>
    </xf>
    <xf numFmtId="1" fontId="24" fillId="0" borderId="10" xfId="45" applyNumberFormat="1" applyFont="1" applyBorder="1" applyAlignment="1">
      <alignment horizontal="center" vertical="top"/>
    </xf>
    <xf numFmtId="41" fontId="24" fillId="0" borderId="10" xfId="45" applyNumberFormat="1" applyFont="1" applyBorder="1" applyAlignment="1">
      <alignment horizontal="center" vertical="top"/>
    </xf>
    <xf numFmtId="0" fontId="24" fillId="0" borderId="10" xfId="45" applyFont="1" applyBorder="1" applyAlignment="1">
      <alignment horizontal="center" vertical="top"/>
    </xf>
    <xf numFmtId="167" fontId="24" fillId="0" borderId="10" xfId="45" applyNumberFormat="1" applyFont="1" applyBorder="1" applyAlignment="1">
      <alignment horizontal="center" vertical="top"/>
    </xf>
    <xf numFmtId="2" fontId="3" fillId="24" borderId="11" xfId="45" applyNumberFormat="1" applyFont="1" applyFill="1" applyBorder="1" applyAlignment="1">
      <alignment vertical="top"/>
    </xf>
    <xf numFmtId="0" fontId="24" fillId="24" borderId="11" xfId="45" applyFont="1" applyFill="1" applyBorder="1" applyAlignment="1">
      <alignment vertical="top"/>
    </xf>
    <xf numFmtId="2" fontId="3" fillId="24" borderId="0" xfId="45" applyNumberFormat="1" applyFont="1" applyFill="1" applyAlignment="1">
      <alignment vertical="top"/>
    </xf>
    <xf numFmtId="0" fontId="24" fillId="24" borderId="0" xfId="45" applyFont="1" applyFill="1" applyAlignment="1">
      <alignment vertical="top"/>
    </xf>
    <xf numFmtId="168" fontId="33" fillId="24" borderId="22" xfId="45" applyNumberFormat="1" applyFont="1" applyFill="1" applyBorder="1" applyAlignment="1">
      <alignment vertical="top"/>
    </xf>
    <xf numFmtId="0" fontId="24" fillId="0" borderId="18" xfId="45" applyFont="1" applyBorder="1" applyAlignment="1">
      <alignment horizontal="center" vertical="top"/>
    </xf>
    <xf numFmtId="0" fontId="29" fillId="25" borderId="0" xfId="45" applyFont="1" applyFill="1" applyAlignment="1">
      <alignment vertical="top"/>
    </xf>
    <xf numFmtId="9" fontId="24" fillId="0" borderId="10" xfId="45" applyNumberFormat="1" applyFont="1" applyBorder="1" applyAlignment="1">
      <alignment horizontal="center" vertical="top"/>
    </xf>
    <xf numFmtId="44" fontId="24" fillId="0" borderId="10" xfId="55" applyFont="1" applyFill="1" applyBorder="1" applyAlignment="1">
      <alignment horizontal="center" vertical="top"/>
    </xf>
    <xf numFmtId="0" fontId="24" fillId="0" borderId="0" xfId="45" applyFont="1" applyAlignment="1">
      <alignment horizontal="center" vertical="top"/>
    </xf>
    <xf numFmtId="2" fontId="24" fillId="0" borderId="0" xfId="45" applyNumberFormat="1" applyFont="1" applyAlignment="1">
      <alignment horizontal="left" vertical="top" wrapText="1"/>
    </xf>
    <xf numFmtId="1" fontId="24" fillId="0" borderId="0" xfId="45" applyNumberFormat="1" applyFont="1" applyAlignment="1">
      <alignment horizontal="center" vertical="top" wrapText="1"/>
    </xf>
    <xf numFmtId="2" fontId="24" fillId="0" borderId="0" xfId="45" applyNumberFormat="1" applyFont="1" applyAlignment="1">
      <alignment horizontal="center" vertical="top" wrapText="1"/>
    </xf>
    <xf numFmtId="44" fontId="24" fillId="0" borderId="0" xfId="55" applyFont="1" applyBorder="1" applyAlignment="1">
      <alignment horizontal="center" vertical="top"/>
    </xf>
    <xf numFmtId="164" fontId="24" fillId="0" borderId="0" xfId="45" applyNumberFormat="1" applyFont="1" applyAlignment="1">
      <alignment vertical="top"/>
    </xf>
    <xf numFmtId="0" fontId="24" fillId="0" borderId="12" xfId="45" applyFont="1" applyBorder="1" applyAlignment="1">
      <alignment horizontal="center" vertical="top"/>
    </xf>
    <xf numFmtId="2" fontId="27" fillId="24" borderId="16" xfId="54" applyNumberFormat="1" applyFill="1" applyBorder="1" applyAlignment="1">
      <alignment horizontal="center" vertical="top"/>
    </xf>
    <xf numFmtId="44" fontId="24" fillId="24" borderId="0" xfId="45" applyNumberFormat="1" applyFont="1" applyFill="1" applyAlignment="1">
      <alignment vertical="top"/>
    </xf>
    <xf numFmtId="2" fontId="32" fillId="0" borderId="10" xfId="45" applyNumberFormat="1" applyFont="1" applyBorder="1" applyAlignment="1">
      <alignment horizontal="left" vertical="top" wrapText="1"/>
    </xf>
    <xf numFmtId="0" fontId="24" fillId="0" borderId="10" xfId="45" applyFont="1" applyBorder="1" applyAlignment="1">
      <alignment horizontal="center" vertical="top" wrapText="1"/>
    </xf>
    <xf numFmtId="0" fontId="34" fillId="0" borderId="28" xfId="45" applyFont="1" applyBorder="1" applyAlignment="1">
      <alignment horizontal="left" vertical="top"/>
    </xf>
    <xf numFmtId="0" fontId="24" fillId="0" borderId="11" xfId="45" applyFont="1" applyBorder="1" applyAlignment="1">
      <alignment horizontal="center" vertical="top"/>
    </xf>
    <xf numFmtId="2" fontId="24" fillId="0" borderId="11" xfId="45" applyNumberFormat="1" applyFont="1" applyBorder="1" applyAlignment="1">
      <alignment horizontal="left" vertical="top" wrapText="1"/>
    </xf>
    <xf numFmtId="1" fontId="24" fillId="0" borderId="11" xfId="45" applyNumberFormat="1" applyFont="1" applyBorder="1" applyAlignment="1">
      <alignment horizontal="center" vertical="top" wrapText="1"/>
    </xf>
    <xf numFmtId="2" fontId="24" fillId="0" borderId="11" xfId="45" applyNumberFormat="1" applyFont="1" applyBorder="1" applyAlignment="1">
      <alignment horizontal="center" vertical="top" wrapText="1"/>
    </xf>
    <xf numFmtId="44" fontId="24" fillId="0" borderId="11" xfId="55" applyFont="1" applyBorder="1" applyAlignment="1">
      <alignment horizontal="center" vertical="top"/>
    </xf>
    <xf numFmtId="164" fontId="24" fillId="0" borderId="11" xfId="45" applyNumberFormat="1" applyFont="1" applyBorder="1" applyAlignment="1">
      <alignment vertical="top"/>
    </xf>
    <xf numFmtId="44" fontId="24" fillId="0" borderId="10" xfId="55" applyFont="1" applyFill="1" applyBorder="1" applyAlignment="1" applyProtection="1">
      <alignment horizontal="center" vertical="top"/>
    </xf>
    <xf numFmtId="2" fontId="3" fillId="24" borderId="28" xfId="0" applyNumberFormat="1" applyFont="1" applyFill="1" applyBorder="1" applyAlignment="1">
      <alignment horizontal="left" vertical="top"/>
    </xf>
    <xf numFmtId="0" fontId="24" fillId="24" borderId="23" xfId="0" applyFont="1" applyFill="1" applyBorder="1" applyAlignment="1">
      <alignment horizontal="center" vertical="top"/>
    </xf>
    <xf numFmtId="0" fontId="25" fillId="24" borderId="11" xfId="0" applyFont="1" applyFill="1" applyBorder="1" applyAlignment="1">
      <alignment horizontal="left" vertical="top"/>
    </xf>
    <xf numFmtId="0" fontId="25" fillId="24" borderId="24" xfId="0" applyFont="1" applyFill="1" applyBorder="1" applyAlignment="1">
      <alignment horizontal="left" vertical="top"/>
    </xf>
    <xf numFmtId="0" fontId="24" fillId="24" borderId="17" xfId="0" applyFont="1" applyFill="1" applyBorder="1" applyAlignment="1">
      <alignment horizontal="center" vertical="top"/>
    </xf>
    <xf numFmtId="165" fontId="25" fillId="24" borderId="22" xfId="55" applyNumberFormat="1" applyFont="1" applyFill="1" applyBorder="1" applyAlignment="1" applyProtection="1">
      <alignment horizontal="left" vertical="top"/>
    </xf>
    <xf numFmtId="0" fontId="24" fillId="24" borderId="22" xfId="45" applyFont="1" applyFill="1" applyBorder="1" applyAlignment="1">
      <alignment vertical="top"/>
    </xf>
    <xf numFmtId="2" fontId="3" fillId="24" borderId="22" xfId="45" applyNumberFormat="1" applyFont="1" applyFill="1" applyBorder="1" applyAlignment="1">
      <alignment vertical="top"/>
    </xf>
    <xf numFmtId="2" fontId="25" fillId="24" borderId="22" xfId="45" applyNumberFormat="1" applyFont="1" applyFill="1" applyBorder="1" applyAlignment="1">
      <alignment horizontal="left" vertical="top"/>
    </xf>
    <xf numFmtId="2" fontId="27" fillId="24" borderId="17" xfId="54" applyNumberFormat="1" applyFill="1" applyBorder="1" applyAlignment="1">
      <alignment horizontal="center" vertical="top"/>
    </xf>
    <xf numFmtId="0" fontId="26" fillId="26" borderId="19" xfId="45" applyFont="1" applyFill="1" applyBorder="1" applyAlignment="1">
      <alignment horizontal="center" vertical="top" wrapText="1"/>
    </xf>
    <xf numFmtId="1" fontId="26" fillId="26" borderId="14" xfId="45" applyNumberFormat="1" applyFont="1" applyFill="1" applyBorder="1" applyAlignment="1">
      <alignment horizontal="center" vertical="top" wrapText="1"/>
    </xf>
    <xf numFmtId="0" fontId="28" fillId="26" borderId="0" xfId="45" applyFont="1" applyFill="1" applyAlignment="1">
      <alignment horizontal="center" vertical="top" wrapText="1"/>
    </xf>
    <xf numFmtId="2" fontId="31" fillId="26" borderId="19" xfId="0" applyNumberFormat="1" applyFont="1" applyFill="1" applyBorder="1" applyAlignment="1">
      <alignment horizontal="left" vertical="top"/>
    </xf>
    <xf numFmtId="2" fontId="31" fillId="26" borderId="14" xfId="0" applyNumberFormat="1" applyFont="1" applyFill="1" applyBorder="1" applyAlignment="1">
      <alignment horizontal="left" vertical="top"/>
    </xf>
    <xf numFmtId="2" fontId="31" fillId="26" borderId="14" xfId="0" applyNumberFormat="1" applyFont="1" applyFill="1" applyBorder="1" applyAlignment="1">
      <alignment vertical="top"/>
    </xf>
    <xf numFmtId="2" fontId="31" fillId="26" borderId="14" xfId="45" applyNumberFormat="1" applyFont="1" applyFill="1" applyBorder="1" applyAlignment="1">
      <alignment horizontal="center" vertical="top"/>
    </xf>
    <xf numFmtId="2" fontId="28" fillId="26" borderId="14" xfId="45" applyNumberFormat="1" applyFont="1" applyFill="1" applyBorder="1" applyAlignment="1">
      <alignment horizontal="center" vertical="top"/>
    </xf>
    <xf numFmtId="44" fontId="28" fillId="26" borderId="14" xfId="55" applyFont="1" applyFill="1" applyBorder="1" applyAlignment="1">
      <alignment horizontal="center" vertical="top"/>
    </xf>
    <xf numFmtId="0" fontId="24" fillId="26" borderId="0" xfId="45" applyFont="1" applyFill="1" applyAlignment="1">
      <alignment vertical="top"/>
    </xf>
    <xf numFmtId="0" fontId="24" fillId="26" borderId="11" xfId="45" applyFont="1" applyFill="1" applyBorder="1" applyAlignment="1">
      <alignment vertical="top"/>
    </xf>
    <xf numFmtId="1" fontId="26" fillId="26" borderId="29" xfId="45" applyNumberFormat="1" applyFont="1" applyFill="1" applyBorder="1" applyAlignment="1">
      <alignment horizontal="left" vertical="top"/>
    </xf>
    <xf numFmtId="0" fontId="28" fillId="26" borderId="0" xfId="45" applyFont="1" applyFill="1" applyAlignment="1">
      <alignment horizontal="center" vertical="top"/>
    </xf>
    <xf numFmtId="2" fontId="28" fillId="26" borderId="0" xfId="45" applyNumberFormat="1" applyFont="1" applyFill="1" applyAlignment="1">
      <alignment horizontal="left" vertical="top" wrapText="1"/>
    </xf>
    <xf numFmtId="1" fontId="28" fillId="26" borderId="0" xfId="45" applyNumberFormat="1" applyFont="1" applyFill="1" applyAlignment="1">
      <alignment horizontal="center" vertical="top"/>
    </xf>
    <xf numFmtId="2" fontId="28" fillId="26" borderId="0" xfId="45" applyNumberFormat="1" applyFont="1" applyFill="1" applyAlignment="1">
      <alignment horizontal="center" vertical="top" wrapText="1"/>
    </xf>
    <xf numFmtId="2" fontId="30" fillId="26" borderId="0" xfId="54" applyNumberFormat="1" applyFont="1" applyFill="1" applyBorder="1" applyAlignment="1">
      <alignment horizontal="left" vertical="top"/>
    </xf>
    <xf numFmtId="44" fontId="28" fillId="26" borderId="0" xfId="55" applyFont="1" applyFill="1" applyBorder="1" applyAlignment="1">
      <alignment horizontal="center" vertical="top"/>
    </xf>
    <xf numFmtId="10" fontId="26" fillId="26" borderId="27" xfId="57" applyNumberFormat="1" applyFont="1" applyFill="1" applyBorder="1" applyAlignment="1">
      <alignment horizontal="center" vertical="top"/>
    </xf>
    <xf numFmtId="165" fontId="26" fillId="26" borderId="16" xfId="45" applyNumberFormat="1" applyFont="1" applyFill="1" applyBorder="1" applyAlignment="1">
      <alignment horizontal="left" vertical="top"/>
    </xf>
    <xf numFmtId="1" fontId="26" fillId="26" borderId="25" xfId="45" applyNumberFormat="1" applyFont="1" applyFill="1" applyBorder="1" applyAlignment="1">
      <alignment horizontal="left" vertical="top"/>
    </xf>
    <xf numFmtId="0" fontId="28" fillId="26" borderId="11" xfId="45" applyFont="1" applyFill="1" applyBorder="1" applyAlignment="1">
      <alignment horizontal="center" vertical="top"/>
    </xf>
    <xf numFmtId="2" fontId="28" fillId="26" borderId="11" xfId="45" applyNumberFormat="1" applyFont="1" applyFill="1" applyBorder="1" applyAlignment="1">
      <alignment horizontal="left" vertical="top" wrapText="1"/>
    </xf>
    <xf numFmtId="1" fontId="28" fillId="26" borderId="11" xfId="45" applyNumberFormat="1" applyFont="1" applyFill="1" applyBorder="1" applyAlignment="1">
      <alignment horizontal="center" vertical="top"/>
    </xf>
    <xf numFmtId="2" fontId="28" fillId="26" borderId="11" xfId="45" applyNumberFormat="1" applyFont="1" applyFill="1" applyBorder="1" applyAlignment="1">
      <alignment horizontal="center" vertical="top" wrapText="1"/>
    </xf>
    <xf numFmtId="2" fontId="30" fillId="26" borderId="11" xfId="54" applyNumberFormat="1" applyFont="1" applyFill="1" applyBorder="1" applyAlignment="1">
      <alignment horizontal="left" vertical="top"/>
    </xf>
    <xf numFmtId="44" fontId="28" fillId="26" borderId="11" xfId="55" applyFont="1" applyFill="1" applyBorder="1" applyAlignment="1">
      <alignment horizontal="center" vertical="top"/>
    </xf>
    <xf numFmtId="10" fontId="26" fillId="26" borderId="15" xfId="57" applyNumberFormat="1" applyFont="1" applyFill="1" applyBorder="1" applyAlignment="1">
      <alignment horizontal="center" vertical="top"/>
    </xf>
    <xf numFmtId="165" fontId="26" fillId="26" borderId="26" xfId="45" applyNumberFormat="1" applyFont="1" applyFill="1" applyBorder="1" applyAlignment="1">
      <alignment horizontal="left" vertical="top"/>
    </xf>
    <xf numFmtId="1" fontId="25" fillId="28" borderId="28" xfId="45" applyNumberFormat="1" applyFont="1" applyFill="1" applyBorder="1" applyAlignment="1">
      <alignment horizontal="left" vertical="top"/>
    </xf>
    <xf numFmtId="1" fontId="25" fillId="28" borderId="11" xfId="45" applyNumberFormat="1" applyFont="1" applyFill="1" applyBorder="1" applyAlignment="1">
      <alignment horizontal="left" vertical="top"/>
    </xf>
    <xf numFmtId="0" fontId="24" fillId="28" borderId="11" xfId="45" applyFont="1" applyFill="1" applyBorder="1" applyAlignment="1">
      <alignment horizontal="left" vertical="top" wrapText="1"/>
    </xf>
    <xf numFmtId="1" fontId="24" fillId="28" borderId="11" xfId="45" applyNumberFormat="1" applyFont="1" applyFill="1" applyBorder="1" applyAlignment="1">
      <alignment horizontal="center" vertical="top"/>
    </xf>
    <xf numFmtId="41" fontId="24" fillId="28" borderId="11" xfId="45" applyNumberFormat="1" applyFont="1" applyFill="1" applyBorder="1" applyAlignment="1">
      <alignment horizontal="right" vertical="top"/>
    </xf>
    <xf numFmtId="0" fontId="24" fillId="28" borderId="11" xfId="45" applyFont="1" applyFill="1" applyBorder="1" applyAlignment="1">
      <alignment horizontal="center" vertical="top"/>
    </xf>
    <xf numFmtId="44" fontId="24" fillId="28" borderId="11" xfId="55" applyFont="1" applyFill="1" applyBorder="1" applyAlignment="1">
      <alignment horizontal="center" vertical="top"/>
    </xf>
    <xf numFmtId="165" fontId="25" fillId="28" borderId="11" xfId="45" applyNumberFormat="1" applyFont="1" applyFill="1" applyBorder="1" applyAlignment="1">
      <alignment horizontal="left" vertical="top"/>
    </xf>
    <xf numFmtId="166" fontId="25" fillId="28" borderId="23" xfId="45" applyNumberFormat="1" applyFont="1" applyFill="1" applyBorder="1" applyAlignment="1">
      <alignment horizontal="center" vertical="top"/>
    </xf>
    <xf numFmtId="0" fontId="24" fillId="28" borderId="0" xfId="45" applyFont="1" applyFill="1" applyAlignment="1">
      <alignment vertical="top"/>
    </xf>
    <xf numFmtId="0" fontId="28" fillId="24" borderId="0" xfId="45" applyFont="1" applyFill="1" applyAlignment="1">
      <alignment horizontal="center" vertical="top" wrapText="1"/>
    </xf>
    <xf numFmtId="0" fontId="29" fillId="24" borderId="0" xfId="45" applyFont="1" applyFill="1" applyAlignment="1">
      <alignment vertical="top"/>
    </xf>
    <xf numFmtId="43" fontId="24" fillId="24" borderId="0" xfId="45" applyNumberFormat="1" applyFont="1" applyFill="1" applyAlignment="1">
      <alignment vertical="top"/>
    </xf>
    <xf numFmtId="9" fontId="24" fillId="0" borderId="10" xfId="56" applyFont="1" applyFill="1" applyBorder="1" applyAlignment="1" applyProtection="1">
      <alignment horizontal="center" vertical="top"/>
    </xf>
    <xf numFmtId="170" fontId="36" fillId="0" borderId="10" xfId="45" applyNumberFormat="1" applyFont="1" applyBorder="1" applyAlignment="1">
      <alignment horizontal="center" vertical="top" wrapText="1"/>
    </xf>
    <xf numFmtId="1" fontId="24" fillId="0" borderId="10" xfId="45" applyNumberFormat="1" applyFont="1" applyBorder="1" applyAlignment="1">
      <alignment horizontal="right" vertical="top"/>
    </xf>
    <xf numFmtId="2" fontId="25" fillId="0" borderId="10" xfId="45" applyNumberFormat="1" applyFont="1" applyBorder="1" applyAlignment="1">
      <alignment horizontal="left" vertical="top" wrapText="1"/>
    </xf>
    <xf numFmtId="165" fontId="24" fillId="0" borderId="10" xfId="55" applyNumberFormat="1" applyFont="1" applyFill="1" applyBorder="1" applyAlignment="1">
      <alignment horizontal="center" vertical="top"/>
    </xf>
    <xf numFmtId="2" fontId="24" fillId="0" borderId="10" xfId="45" applyNumberFormat="1" applyFont="1" applyBorder="1" applyAlignment="1">
      <alignment horizontal="left" vertical="top" wrapText="1"/>
    </xf>
    <xf numFmtId="165" fontId="24" fillId="0" borderId="10" xfId="45" applyNumberFormat="1" applyFont="1" applyBorder="1" applyAlignment="1">
      <alignment horizontal="center" vertical="top"/>
    </xf>
    <xf numFmtId="2" fontId="37" fillId="0" borderId="10" xfId="45" applyNumberFormat="1" applyFont="1" applyBorder="1" applyAlignment="1">
      <alignment horizontal="left" vertical="top" wrapText="1"/>
    </xf>
    <xf numFmtId="165" fontId="24" fillId="0" borderId="10" xfId="55" applyNumberFormat="1" applyFont="1" applyFill="1" applyBorder="1" applyAlignment="1" applyProtection="1">
      <alignment horizontal="center" vertical="top"/>
    </xf>
    <xf numFmtId="1" fontId="25" fillId="26" borderId="10" xfId="45" applyNumberFormat="1" applyFont="1" applyFill="1" applyBorder="1" applyAlignment="1">
      <alignment horizontal="left" vertical="top"/>
    </xf>
    <xf numFmtId="0" fontId="24" fillId="26" borderId="10" xfId="45" applyFont="1" applyFill="1" applyBorder="1" applyAlignment="1">
      <alignment horizontal="left" vertical="top" wrapText="1"/>
    </xf>
    <xf numFmtId="1" fontId="24" fillId="26" borderId="10" xfId="45" applyNumberFormat="1" applyFont="1" applyFill="1" applyBorder="1" applyAlignment="1">
      <alignment horizontal="center" vertical="top"/>
    </xf>
    <xf numFmtId="41" fontId="24" fillId="26" borderId="10" xfId="45" applyNumberFormat="1" applyFont="1" applyFill="1" applyBorder="1" applyAlignment="1">
      <alignment horizontal="right" vertical="top"/>
    </xf>
    <xf numFmtId="0" fontId="24" fillId="26" borderId="10" xfId="45" applyFont="1" applyFill="1" applyBorder="1" applyAlignment="1">
      <alignment horizontal="center" vertical="top"/>
    </xf>
    <xf numFmtId="44" fontId="24" fillId="26" borderId="10" xfId="55" applyFont="1" applyFill="1" applyBorder="1" applyAlignment="1">
      <alignment horizontal="center" vertical="top"/>
    </xf>
    <xf numFmtId="0" fontId="28" fillId="28" borderId="10" xfId="45" applyFont="1" applyFill="1" applyBorder="1" applyAlignment="1">
      <alignment horizontal="center" vertical="top"/>
    </xf>
    <xf numFmtId="2" fontId="28" fillId="28" borderId="10" xfId="45" applyNumberFormat="1" applyFont="1" applyFill="1" applyBorder="1" applyAlignment="1">
      <alignment horizontal="left" vertical="top" wrapText="1"/>
    </xf>
    <xf numFmtId="1" fontId="28" fillId="28" borderId="10" xfId="45" applyNumberFormat="1" applyFont="1" applyFill="1" applyBorder="1" applyAlignment="1">
      <alignment horizontal="center" vertical="top"/>
    </xf>
    <xf numFmtId="2" fontId="28" fillId="28" borderId="10" xfId="45" applyNumberFormat="1" applyFont="1" applyFill="1" applyBorder="1" applyAlignment="1">
      <alignment horizontal="center" vertical="top" wrapText="1"/>
    </xf>
    <xf numFmtId="2" fontId="30" fillId="28" borderId="10" xfId="54" applyNumberFormat="1" applyFont="1" applyFill="1" applyBorder="1" applyAlignment="1">
      <alignment horizontal="left" vertical="top"/>
    </xf>
    <xf numFmtId="44" fontId="28" fillId="28" borderId="10" xfId="55" applyFont="1" applyFill="1" applyBorder="1" applyAlignment="1">
      <alignment horizontal="center" vertical="top"/>
    </xf>
    <xf numFmtId="0" fontId="24" fillId="0" borderId="30" xfId="45" applyFont="1" applyBorder="1" applyAlignment="1">
      <alignment horizontal="center" vertical="top"/>
    </xf>
    <xf numFmtId="0" fontId="24" fillId="0" borderId="31" xfId="45" applyFont="1" applyBorder="1" applyAlignment="1">
      <alignment horizontal="center" vertical="top"/>
    </xf>
    <xf numFmtId="0" fontId="25" fillId="0" borderId="31" xfId="45" applyFont="1" applyBorder="1" applyAlignment="1">
      <alignment vertical="top"/>
    </xf>
    <xf numFmtId="0" fontId="25" fillId="0" borderId="31" xfId="45" applyFont="1" applyBorder="1" applyAlignment="1">
      <alignment horizontal="center" vertical="center"/>
    </xf>
    <xf numFmtId="0" fontId="25" fillId="0" borderId="31" xfId="45" applyFont="1" applyBorder="1" applyAlignment="1">
      <alignment horizontal="left" vertical="top"/>
    </xf>
    <xf numFmtId="1" fontId="24" fillId="0" borderId="31" xfId="45" applyNumberFormat="1" applyFont="1" applyBorder="1" applyAlignment="1">
      <alignment horizontal="center" vertical="top"/>
    </xf>
    <xf numFmtId="0" fontId="24" fillId="0" borderId="31" xfId="45" applyFont="1" applyBorder="1" applyAlignment="1">
      <alignment vertical="top"/>
    </xf>
    <xf numFmtId="44" fontId="24" fillId="0" borderId="31" xfId="55" applyFont="1" applyFill="1" applyBorder="1" applyAlignment="1">
      <alignment vertical="top"/>
    </xf>
    <xf numFmtId="165" fontId="24" fillId="0" borderId="31" xfId="55" applyNumberFormat="1" applyFont="1" applyFill="1" applyBorder="1" applyAlignment="1">
      <alignment vertical="top"/>
    </xf>
    <xf numFmtId="0" fontId="24" fillId="0" borderId="32" xfId="45" applyFont="1" applyBorder="1" applyAlignment="1">
      <alignment vertical="top"/>
    </xf>
    <xf numFmtId="166" fontId="25" fillId="0" borderId="21" xfId="45" applyNumberFormat="1" applyFont="1" applyBorder="1" applyAlignment="1">
      <alignment horizontal="center" vertical="top"/>
    </xf>
    <xf numFmtId="165" fontId="24" fillId="0" borderId="21" xfId="45" applyNumberFormat="1" applyFont="1" applyBorder="1" applyAlignment="1">
      <alignment horizontal="center" vertical="top"/>
    </xf>
    <xf numFmtId="41" fontId="24" fillId="0" borderId="21" xfId="45" applyNumberFormat="1" applyFont="1" applyBorder="1" applyAlignment="1">
      <alignment horizontal="center" vertical="top"/>
    </xf>
    <xf numFmtId="1" fontId="25" fillId="26" borderId="18" xfId="45" applyNumberFormat="1" applyFont="1" applyFill="1" applyBorder="1" applyAlignment="1">
      <alignment horizontal="left" vertical="top"/>
    </xf>
    <xf numFmtId="165" fontId="25" fillId="26" borderId="21" xfId="45" applyNumberFormat="1" applyFont="1" applyFill="1" applyBorder="1" applyAlignment="1">
      <alignment horizontal="left" vertical="top"/>
    </xf>
    <xf numFmtId="1" fontId="26" fillId="28" borderId="18" xfId="45" applyNumberFormat="1" applyFont="1" applyFill="1" applyBorder="1" applyAlignment="1">
      <alignment horizontal="left" vertical="top"/>
    </xf>
    <xf numFmtId="10" fontId="26" fillId="28" borderId="21" xfId="57" applyNumberFormat="1" applyFont="1" applyFill="1" applyBorder="1" applyAlignment="1">
      <alignment horizontal="center" vertical="top"/>
    </xf>
    <xf numFmtId="1" fontId="25" fillId="26" borderId="33" xfId="45" applyNumberFormat="1" applyFont="1" applyFill="1" applyBorder="1" applyAlignment="1">
      <alignment horizontal="left" vertical="top"/>
    </xf>
    <xf numFmtId="1" fontId="25" fillId="26" borderId="34" xfId="45" applyNumberFormat="1" applyFont="1" applyFill="1" applyBorder="1" applyAlignment="1">
      <alignment horizontal="left" vertical="top"/>
    </xf>
    <xf numFmtId="0" fontId="24" fillId="26" borderId="34" xfId="45" applyFont="1" applyFill="1" applyBorder="1" applyAlignment="1">
      <alignment horizontal="left" vertical="top" wrapText="1"/>
    </xf>
    <xf numFmtId="1" fontId="24" fillId="26" borderId="34" xfId="45" applyNumberFormat="1" applyFont="1" applyFill="1" applyBorder="1" applyAlignment="1">
      <alignment horizontal="center" vertical="top"/>
    </xf>
    <xf numFmtId="41" fontId="24" fillId="26" borderId="34" xfId="45" applyNumberFormat="1" applyFont="1" applyFill="1" applyBorder="1" applyAlignment="1">
      <alignment horizontal="right" vertical="top"/>
    </xf>
    <xf numFmtId="0" fontId="24" fillId="26" borderId="34" xfId="45" applyFont="1" applyFill="1" applyBorder="1" applyAlignment="1">
      <alignment horizontal="center" vertical="top"/>
    </xf>
    <xf numFmtId="44" fontId="24" fillId="26" borderId="34" xfId="55" applyFont="1" applyFill="1" applyBorder="1" applyAlignment="1">
      <alignment horizontal="center" vertical="top"/>
    </xf>
    <xf numFmtId="165" fontId="25" fillId="26" borderId="35" xfId="45" applyNumberFormat="1" applyFont="1" applyFill="1" applyBorder="1" applyAlignment="1">
      <alignment horizontal="left" vertical="top"/>
    </xf>
    <xf numFmtId="2" fontId="28" fillId="26" borderId="20" xfId="45" applyNumberFormat="1" applyFont="1" applyFill="1" applyBorder="1" applyAlignment="1">
      <alignment horizontal="center" vertical="top"/>
    </xf>
    <xf numFmtId="2" fontId="25" fillId="24" borderId="23" xfId="45" applyNumberFormat="1" applyFont="1" applyFill="1" applyBorder="1" applyAlignment="1">
      <alignment horizontal="left" vertical="top"/>
    </xf>
    <xf numFmtId="14" fontId="24" fillId="24" borderId="0" xfId="0" applyNumberFormat="1" applyFont="1" applyFill="1" applyAlignment="1">
      <alignment horizontal="left" vertical="top"/>
    </xf>
    <xf numFmtId="2" fontId="25" fillId="24" borderId="16" xfId="45" applyNumberFormat="1" applyFont="1" applyFill="1" applyBorder="1" applyAlignment="1">
      <alignment horizontal="left" vertical="top"/>
    </xf>
    <xf numFmtId="2" fontId="25" fillId="24" borderId="0" xfId="45" applyNumberFormat="1" applyFont="1" applyFill="1" applyAlignment="1">
      <alignment horizontal="left" vertical="top"/>
    </xf>
    <xf numFmtId="0" fontId="26" fillId="26" borderId="20" xfId="45" applyFont="1" applyFill="1" applyBorder="1" applyAlignment="1">
      <alignment horizontal="center" vertical="top" wrapText="1"/>
    </xf>
    <xf numFmtId="1" fontId="25" fillId="27" borderId="24" xfId="45" applyNumberFormat="1" applyFont="1" applyFill="1" applyBorder="1" applyAlignment="1">
      <alignment horizontal="left" vertical="top"/>
    </xf>
    <xf numFmtId="1" fontId="25" fillId="27" borderId="22" xfId="45" applyNumberFormat="1" applyFont="1" applyFill="1" applyBorder="1" applyAlignment="1">
      <alignment horizontal="left" vertical="top"/>
    </xf>
    <xf numFmtId="0" fontId="24" fillId="27" borderId="22" xfId="45" applyFont="1" applyFill="1" applyBorder="1" applyAlignment="1">
      <alignment horizontal="left" vertical="top" wrapText="1"/>
    </xf>
    <xf numFmtId="1" fontId="24" fillId="27" borderId="22" xfId="45" applyNumberFormat="1" applyFont="1" applyFill="1" applyBorder="1" applyAlignment="1">
      <alignment horizontal="center" vertical="top"/>
    </xf>
    <xf numFmtId="41" fontId="24" fillId="27" borderId="22" xfId="45" applyNumberFormat="1" applyFont="1" applyFill="1" applyBorder="1" applyAlignment="1">
      <alignment horizontal="right" vertical="top"/>
    </xf>
    <xf numFmtId="0" fontId="24" fillId="27" borderId="22" xfId="45" applyFont="1" applyFill="1" applyBorder="1" applyAlignment="1">
      <alignment horizontal="center" vertical="top"/>
    </xf>
    <xf numFmtId="44" fontId="24" fillId="27" borderId="22" xfId="55" applyFont="1" applyFill="1" applyBorder="1" applyAlignment="1">
      <alignment horizontal="center" vertical="top"/>
    </xf>
    <xf numFmtId="166" fontId="25" fillId="27" borderId="17" xfId="45" applyNumberFormat="1" applyFont="1" applyFill="1" applyBorder="1" applyAlignment="1">
      <alignment horizontal="center" vertical="top"/>
    </xf>
    <xf numFmtId="166" fontId="25" fillId="0" borderId="10" xfId="45" applyNumberFormat="1" applyFont="1" applyBorder="1" applyAlignment="1">
      <alignment horizontal="center" vertical="top"/>
    </xf>
    <xf numFmtId="0" fontId="32" fillId="0" borderId="10" xfId="45" applyFont="1" applyBorder="1" applyAlignment="1">
      <alignment horizontal="center" vertical="top" wrapText="1"/>
    </xf>
    <xf numFmtId="2" fontId="24" fillId="0" borderId="10" xfId="45" applyNumberFormat="1" applyFont="1" applyBorder="1" applyAlignment="1">
      <alignment horizontal="center" vertical="top"/>
    </xf>
    <xf numFmtId="169" fontId="24" fillId="0" borderId="10" xfId="45" applyNumberFormat="1" applyFont="1" applyBorder="1" applyAlignment="1">
      <alignment horizontal="center" vertical="top"/>
    </xf>
    <xf numFmtId="170" fontId="25" fillId="0" borderId="10" xfId="45" applyNumberFormat="1" applyFont="1" applyBorder="1" applyAlignment="1">
      <alignment horizontal="center" vertical="top" wrapText="1"/>
    </xf>
    <xf numFmtId="0" fontId="24" fillId="0" borderId="13" xfId="45" applyFont="1" applyBorder="1" applyAlignment="1">
      <alignment horizontal="center" vertical="top"/>
    </xf>
    <xf numFmtId="0" fontId="25" fillId="0" borderId="13" xfId="45" applyFont="1" applyBorder="1" applyAlignment="1">
      <alignment vertical="top"/>
    </xf>
    <xf numFmtId="0" fontId="25" fillId="0" borderId="13" xfId="45" applyFont="1" applyBorder="1" applyAlignment="1">
      <alignment horizontal="center" vertical="center"/>
    </xf>
    <xf numFmtId="0" fontId="25" fillId="0" borderId="13" xfId="45" applyFont="1" applyBorder="1" applyAlignment="1">
      <alignment horizontal="left" vertical="top"/>
    </xf>
    <xf numFmtId="1" fontId="24" fillId="0" borderId="13" xfId="45" applyNumberFormat="1" applyFont="1" applyBorder="1" applyAlignment="1">
      <alignment horizontal="center" vertical="top"/>
    </xf>
    <xf numFmtId="0" fontId="24" fillId="0" borderId="13" xfId="45" applyFont="1" applyBorder="1" applyAlignment="1">
      <alignment vertical="top"/>
    </xf>
    <xf numFmtId="44" fontId="24" fillId="0" borderId="13" xfId="55" applyFont="1" applyFill="1" applyBorder="1" applyAlignment="1">
      <alignment vertical="top"/>
    </xf>
    <xf numFmtId="165" fontId="24" fillId="0" borderId="13" xfId="55" applyNumberFormat="1" applyFont="1" applyFill="1" applyBorder="1" applyAlignment="1">
      <alignment vertical="top"/>
    </xf>
    <xf numFmtId="0" fontId="24" fillId="0" borderId="36" xfId="45" applyFont="1" applyBorder="1" applyAlignment="1">
      <alignment horizontal="center" vertical="top"/>
    </xf>
    <xf numFmtId="0" fontId="34" fillId="0" borderId="24" xfId="45" applyFont="1" applyBorder="1" applyAlignment="1">
      <alignment horizontal="left" vertical="top"/>
    </xf>
    <xf numFmtId="0" fontId="24" fillId="0" borderId="22" xfId="45" applyFont="1" applyBorder="1" applyAlignment="1">
      <alignment horizontal="center" vertical="top"/>
    </xf>
    <xf numFmtId="2" fontId="24" fillId="0" borderId="22" xfId="45" applyNumberFormat="1" applyFont="1" applyBorder="1" applyAlignment="1">
      <alignment horizontal="left" vertical="top" wrapText="1"/>
    </xf>
    <xf numFmtId="1" fontId="24" fillId="0" borderId="22" xfId="45" applyNumberFormat="1" applyFont="1" applyBorder="1" applyAlignment="1">
      <alignment horizontal="center" vertical="top" wrapText="1"/>
    </xf>
    <xf numFmtId="2" fontId="24" fillId="0" borderId="22" xfId="45" applyNumberFormat="1" applyFont="1" applyBorder="1" applyAlignment="1">
      <alignment horizontal="center" vertical="top" wrapText="1"/>
    </xf>
    <xf numFmtId="44" fontId="24" fillId="0" borderId="22" xfId="55" applyFont="1" applyBorder="1" applyAlignment="1">
      <alignment horizontal="center" vertical="top"/>
    </xf>
    <xf numFmtId="164" fontId="24" fillId="0" borderId="22" xfId="45" applyNumberFormat="1" applyFont="1" applyBorder="1" applyAlignment="1">
      <alignment vertical="top"/>
    </xf>
    <xf numFmtId="2" fontId="25" fillId="29" borderId="10" xfId="45" applyNumberFormat="1" applyFont="1" applyFill="1" applyBorder="1" applyAlignment="1">
      <alignment horizontal="center" vertical="center" wrapText="1"/>
    </xf>
    <xf numFmtId="0" fontId="38" fillId="27" borderId="19" xfId="45" applyFont="1" applyFill="1" applyBorder="1" applyAlignment="1">
      <alignment horizontal="center" vertical="center"/>
    </xf>
    <xf numFmtId="0" fontId="38" fillId="27" borderId="14" xfId="45" applyFont="1" applyFill="1" applyBorder="1" applyAlignment="1">
      <alignment horizontal="center" vertical="center"/>
    </xf>
  </cellXfs>
  <cellStyles count="58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Comma 2" xfId="46" xr:uid="{00000000-0005-0000-0000-00001B000000}"/>
    <cellStyle name="Comma 2 2" xfId="48" xr:uid="{00000000-0005-0000-0000-00001C000000}"/>
    <cellStyle name="Currency 2" xfId="50" xr:uid="{00000000-0005-0000-0000-00001D000000}"/>
    <cellStyle name="Currency 3" xfId="55" xr:uid="{00000000-0005-0000-0000-00001E000000}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Hyperlink" xfId="54" builtinId="8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rmal 2" xfId="44" xr:uid="{00000000-0005-0000-0000-00002A000000}"/>
    <cellStyle name="Normal 2 2" xfId="47" xr:uid="{00000000-0005-0000-0000-00002B000000}"/>
    <cellStyle name="Normal 2 3" xfId="45" xr:uid="{00000000-0005-0000-0000-00002C000000}"/>
    <cellStyle name="Normal 2 3 2" xfId="52" xr:uid="{00000000-0005-0000-0000-00002D000000}"/>
    <cellStyle name="Normal 3" xfId="37" xr:uid="{00000000-0005-0000-0000-00002E000000}"/>
    <cellStyle name="Normal 4" xfId="43" xr:uid="{00000000-0005-0000-0000-00002F000000}"/>
    <cellStyle name="Normal 4 2" xfId="53" xr:uid="{00000000-0005-0000-0000-000030000000}"/>
    <cellStyle name="Normal 4 3" xfId="51" xr:uid="{00000000-0005-0000-0000-000031000000}"/>
    <cellStyle name="Normal 5" xfId="49" xr:uid="{00000000-0005-0000-0000-000032000000}"/>
    <cellStyle name="Note" xfId="38" builtinId="10" customBuiltin="1"/>
    <cellStyle name="Output" xfId="39" builtinId="21" customBuiltin="1"/>
    <cellStyle name="Percent" xfId="57" builtinId="5"/>
    <cellStyle name="Percent 2" xfId="56" xr:uid="{00000000-0005-0000-0000-000036000000}"/>
    <cellStyle name="Title" xfId="40" builtinId="15" customBuiltin="1"/>
    <cellStyle name="Total" xfId="41" builtinId="25" customBuiltin="1"/>
    <cellStyle name="Warning Text" xfId="42" builtinId="11" customBuiltin="1"/>
  </cellStyles>
  <dxfs count="0"/>
  <tableStyles count="0" defaultTableStyle="TableStyleMedium9" defaultPivotStyle="PivotStyleLight16"/>
  <colors>
    <mruColors>
      <color rgb="FFF50101"/>
      <color rgb="FFFF512C"/>
      <color rgb="FFF55D61"/>
      <color rgb="FFFED2DC"/>
      <color rgb="FFD5D5D5"/>
      <color rgb="FFB94517"/>
      <color rgb="FFFE9494"/>
      <color rgb="FFF3F3F3"/>
      <color rgb="FFCE2008"/>
      <color rgb="FFDE796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549089</xdr:colOff>
      <xdr:row>1</xdr:row>
      <xdr:rowOff>44825</xdr:rowOff>
    </xdr:from>
    <xdr:to>
      <xdr:col>12</xdr:col>
      <xdr:colOff>974911</xdr:colOff>
      <xdr:row>4</xdr:row>
      <xdr:rowOff>113405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AE64BADC-2DAE-F657-BEFD-41BF3C9311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228295" y="257737"/>
          <a:ext cx="2017058" cy="67369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0000"/>
    <pageSetUpPr fitToPage="1"/>
  </sheetPr>
  <dimension ref="A1:DC253"/>
  <sheetViews>
    <sheetView showGridLines="0" tabSelected="1" view="pageBreakPreview" topLeftCell="A228" zoomScale="85" zoomScaleNormal="90" zoomScaleSheetLayoutView="85" zoomScalePageLayoutView="60" workbookViewId="0">
      <selection activeCell="E245" sqref="E245"/>
    </sheetView>
  </sheetViews>
  <sheetFormatPr defaultColWidth="9.6640625" defaultRowHeight="15.75" x14ac:dyDescent="0.2"/>
  <cols>
    <col min="1" max="1" width="5.6640625" style="24" customWidth="1"/>
    <col min="2" max="2" width="11.77734375" style="18" customWidth="1"/>
    <col min="3" max="3" width="14.6640625" style="18" customWidth="1"/>
    <col min="4" max="4" width="6.88671875" style="18" customWidth="1"/>
    <col min="5" max="5" width="44.77734375" style="19" customWidth="1"/>
    <col min="6" max="6" width="8.44140625" style="20" customWidth="1"/>
    <col min="7" max="7" width="11" style="21" customWidth="1"/>
    <col min="8" max="8" width="7.88671875" style="21" customWidth="1"/>
    <col min="9" max="9" width="7.109375" style="18" customWidth="1"/>
    <col min="10" max="12" width="9.33203125" style="22" customWidth="1"/>
    <col min="13" max="13" width="11.44140625" style="23" customWidth="1"/>
    <col min="14" max="14" width="10.77734375" style="12" bestFit="1" customWidth="1"/>
    <col min="15" max="107" width="9.6640625" style="12"/>
    <col min="108" max="16384" width="9.6640625" style="4"/>
  </cols>
  <sheetData>
    <row r="1" spans="1:107" s="57" customFormat="1" ht="16.5" thickBot="1" x14ac:dyDescent="0.25">
      <c r="A1" s="50" t="s">
        <v>5</v>
      </c>
      <c r="B1" s="51"/>
      <c r="C1" s="52" t="s">
        <v>154</v>
      </c>
      <c r="D1" s="52"/>
      <c r="E1" s="53"/>
      <c r="F1" s="54"/>
      <c r="G1" s="54"/>
      <c r="H1" s="54"/>
      <c r="I1" s="54"/>
      <c r="J1" s="55"/>
      <c r="K1" s="55"/>
      <c r="L1" s="55"/>
      <c r="M1" s="135"/>
      <c r="N1" s="12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  <c r="AK1" s="10"/>
      <c r="AL1" s="10"/>
      <c r="AM1" s="10"/>
      <c r="AN1" s="10"/>
      <c r="AO1" s="10"/>
      <c r="AP1" s="10"/>
      <c r="AQ1" s="10"/>
      <c r="AR1" s="10"/>
      <c r="AS1" s="10"/>
      <c r="AT1" s="10"/>
      <c r="AU1" s="10"/>
      <c r="AV1" s="10"/>
      <c r="AW1" s="10"/>
      <c r="AX1" s="10"/>
      <c r="AY1" s="10"/>
      <c r="AZ1" s="10"/>
      <c r="BA1" s="10"/>
      <c r="BB1" s="10"/>
      <c r="BC1" s="10"/>
      <c r="BD1" s="10"/>
      <c r="BE1" s="10"/>
      <c r="BF1" s="10"/>
      <c r="BG1" s="10"/>
      <c r="BH1" s="10"/>
      <c r="BI1" s="10"/>
      <c r="BJ1" s="10"/>
      <c r="BK1" s="10"/>
      <c r="BL1" s="10"/>
      <c r="BM1" s="10"/>
      <c r="BN1" s="10"/>
      <c r="BO1" s="10"/>
      <c r="BP1" s="10"/>
      <c r="BQ1" s="10"/>
      <c r="BR1" s="10"/>
      <c r="BS1" s="10"/>
      <c r="BT1" s="10"/>
      <c r="BU1" s="10"/>
      <c r="BV1" s="10"/>
      <c r="BW1" s="10"/>
      <c r="BX1" s="10"/>
      <c r="BY1" s="10"/>
      <c r="BZ1" s="10"/>
      <c r="CA1" s="10"/>
      <c r="CB1" s="10"/>
      <c r="CC1" s="10"/>
      <c r="CD1" s="10"/>
      <c r="CE1" s="10"/>
      <c r="CF1" s="10"/>
      <c r="CG1" s="10"/>
      <c r="CH1" s="10"/>
      <c r="CI1" s="10"/>
      <c r="CJ1" s="10"/>
      <c r="CK1" s="10"/>
      <c r="CL1" s="10"/>
      <c r="CM1" s="10"/>
      <c r="CN1" s="10"/>
      <c r="CO1" s="10"/>
      <c r="CP1" s="10"/>
      <c r="CQ1" s="10"/>
      <c r="CR1" s="10"/>
      <c r="CS1" s="10"/>
      <c r="CT1" s="10"/>
      <c r="CU1" s="10"/>
      <c r="CV1" s="10"/>
      <c r="CW1" s="10"/>
      <c r="CX1" s="10"/>
      <c r="CY1" s="10"/>
      <c r="CZ1" s="10"/>
      <c r="DA1" s="10"/>
      <c r="DB1" s="10"/>
      <c r="DC1" s="10"/>
    </row>
    <row r="2" spans="1:107" x14ac:dyDescent="0.2">
      <c r="A2" s="37" t="s">
        <v>6</v>
      </c>
      <c r="B2" s="38"/>
      <c r="C2" s="39" t="s">
        <v>154</v>
      </c>
      <c r="D2" s="39"/>
      <c r="E2" s="9"/>
      <c r="F2" s="10"/>
      <c r="I2" s="9"/>
      <c r="J2" s="9"/>
      <c r="K2" s="9"/>
      <c r="L2" s="10"/>
      <c r="M2" s="136"/>
    </row>
    <row r="3" spans="1:107" x14ac:dyDescent="0.2">
      <c r="A3" s="2" t="s">
        <v>7</v>
      </c>
      <c r="B3" s="1"/>
      <c r="C3" s="137">
        <v>45126</v>
      </c>
      <c r="D3" s="137"/>
      <c r="E3" s="11"/>
      <c r="F3" s="12"/>
      <c r="G3" s="11" t="s">
        <v>156</v>
      </c>
      <c r="H3" s="11"/>
      <c r="I3" s="12"/>
      <c r="J3" s="12"/>
      <c r="K3" s="12"/>
      <c r="L3" s="12"/>
      <c r="M3" s="138"/>
    </row>
    <row r="4" spans="1:107" x14ac:dyDescent="0.2">
      <c r="A4" s="2" t="s">
        <v>8</v>
      </c>
      <c r="B4" s="1"/>
      <c r="C4" s="137">
        <v>45090</v>
      </c>
      <c r="D4" s="137"/>
      <c r="E4" s="11"/>
      <c r="F4" s="26"/>
      <c r="G4" s="11" t="s">
        <v>157</v>
      </c>
      <c r="H4" s="11" t="s">
        <v>158</v>
      </c>
      <c r="I4" s="12"/>
      <c r="J4" s="12"/>
      <c r="K4" s="12"/>
      <c r="L4" s="139"/>
      <c r="M4" s="25"/>
    </row>
    <row r="5" spans="1:107" ht="16.5" thickBot="1" x14ac:dyDescent="0.25">
      <c r="A5" s="40" t="s">
        <v>29</v>
      </c>
      <c r="B5" s="41"/>
      <c r="C5" s="42" t="e">
        <f>#REF!</f>
        <v>#REF!</v>
      </c>
      <c r="D5" s="42"/>
      <c r="E5" s="13"/>
      <c r="F5" s="43"/>
      <c r="G5" s="44"/>
      <c r="H5" s="44"/>
      <c r="I5" s="43"/>
      <c r="J5" s="43"/>
      <c r="K5" s="43"/>
      <c r="L5" s="45"/>
      <c r="M5" s="46"/>
    </row>
    <row r="6" spans="1:107" s="49" customFormat="1" ht="37.5" customHeight="1" thickBot="1" x14ac:dyDescent="0.25">
      <c r="A6" s="47" t="s">
        <v>9</v>
      </c>
      <c r="B6" s="48" t="s">
        <v>11</v>
      </c>
      <c r="C6" s="48" t="s">
        <v>12</v>
      </c>
      <c r="D6" s="48" t="s">
        <v>13</v>
      </c>
      <c r="E6" s="48" t="s">
        <v>1</v>
      </c>
      <c r="F6" s="48" t="s">
        <v>20</v>
      </c>
      <c r="G6" s="48" t="s">
        <v>2</v>
      </c>
      <c r="H6" s="48" t="s">
        <v>3</v>
      </c>
      <c r="I6" s="48" t="s">
        <v>0</v>
      </c>
      <c r="J6" s="48" t="s">
        <v>25</v>
      </c>
      <c r="K6" s="48" t="s">
        <v>26</v>
      </c>
      <c r="L6" s="48" t="s">
        <v>24</v>
      </c>
      <c r="M6" s="140" t="s">
        <v>4</v>
      </c>
      <c r="N6" s="11"/>
      <c r="O6" s="86"/>
      <c r="P6" s="86"/>
      <c r="Q6" s="86"/>
      <c r="R6" s="86"/>
      <c r="S6" s="86"/>
      <c r="T6" s="86"/>
      <c r="U6" s="86"/>
      <c r="V6" s="86"/>
      <c r="W6" s="86"/>
      <c r="X6" s="86"/>
      <c r="Y6" s="86"/>
      <c r="Z6" s="86"/>
      <c r="AA6" s="86"/>
      <c r="AB6" s="86"/>
      <c r="AC6" s="86"/>
      <c r="AD6" s="86"/>
      <c r="AE6" s="86"/>
      <c r="AF6" s="86"/>
      <c r="AG6" s="86"/>
      <c r="AH6" s="86"/>
      <c r="AI6" s="86"/>
      <c r="AJ6" s="86"/>
      <c r="AK6" s="86"/>
      <c r="AL6" s="86"/>
      <c r="AM6" s="86"/>
      <c r="AN6" s="86"/>
      <c r="AO6" s="86"/>
      <c r="AP6" s="86"/>
      <c r="AQ6" s="86"/>
      <c r="AR6" s="86"/>
      <c r="AS6" s="86"/>
      <c r="AT6" s="86"/>
      <c r="AU6" s="86"/>
      <c r="AV6" s="86"/>
      <c r="AW6" s="86"/>
      <c r="AX6" s="86"/>
      <c r="AY6" s="86"/>
      <c r="AZ6" s="86"/>
      <c r="BA6" s="86"/>
      <c r="BB6" s="86"/>
      <c r="BC6" s="86"/>
      <c r="BD6" s="86"/>
      <c r="BE6" s="86"/>
      <c r="BF6" s="86"/>
      <c r="BG6" s="86"/>
      <c r="BH6" s="86"/>
      <c r="BI6" s="86"/>
      <c r="BJ6" s="86"/>
      <c r="BK6" s="86"/>
      <c r="BL6" s="86"/>
      <c r="BM6" s="86"/>
      <c r="BN6" s="86"/>
      <c r="BO6" s="86"/>
      <c r="BP6" s="86"/>
      <c r="BQ6" s="86"/>
      <c r="BR6" s="86"/>
      <c r="BS6" s="86"/>
      <c r="BT6" s="86"/>
      <c r="BU6" s="86"/>
      <c r="BV6" s="86"/>
      <c r="BW6" s="86"/>
      <c r="BX6" s="86"/>
      <c r="BY6" s="86"/>
      <c r="BZ6" s="86"/>
      <c r="CA6" s="86"/>
      <c r="CB6" s="86"/>
      <c r="CC6" s="86"/>
      <c r="CD6" s="86"/>
      <c r="CE6" s="86"/>
      <c r="CF6" s="86"/>
      <c r="CG6" s="86"/>
      <c r="CH6" s="86"/>
      <c r="CI6" s="86"/>
      <c r="CJ6" s="86"/>
      <c r="CK6" s="86"/>
      <c r="CL6" s="86"/>
      <c r="CM6" s="86"/>
      <c r="CN6" s="86"/>
      <c r="CO6" s="86"/>
      <c r="CP6" s="86"/>
      <c r="CQ6" s="86"/>
      <c r="CR6" s="86"/>
      <c r="CS6" s="86"/>
      <c r="CT6" s="86"/>
      <c r="CU6" s="86"/>
      <c r="CV6" s="86"/>
      <c r="CW6" s="86"/>
      <c r="CX6" s="86"/>
      <c r="CY6" s="86"/>
      <c r="CZ6" s="86"/>
      <c r="DA6" s="86"/>
      <c r="DB6" s="86"/>
      <c r="DC6" s="86"/>
    </row>
    <row r="7" spans="1:107" s="15" customFormat="1" x14ac:dyDescent="0.2">
      <c r="A7" s="110" t="str">
        <f>IF(F7&lt;&gt;"",1+MAX($A$6:A6),"")</f>
        <v/>
      </c>
      <c r="B7" s="111"/>
      <c r="C7" s="112"/>
      <c r="D7" s="113" t="s">
        <v>14</v>
      </c>
      <c r="E7" s="114" t="s">
        <v>15</v>
      </c>
      <c r="F7" s="115"/>
      <c r="G7" s="116"/>
      <c r="H7" s="116"/>
      <c r="I7" s="116"/>
      <c r="J7" s="117"/>
      <c r="K7" s="117"/>
      <c r="L7" s="118"/>
      <c r="M7" s="119"/>
      <c r="N7" s="87"/>
      <c r="O7" s="87"/>
      <c r="P7" s="87"/>
      <c r="Q7" s="87"/>
      <c r="R7" s="87"/>
      <c r="S7" s="87"/>
      <c r="T7" s="87"/>
      <c r="U7" s="87"/>
      <c r="V7" s="87"/>
      <c r="W7" s="87"/>
      <c r="X7" s="87"/>
      <c r="Y7" s="87"/>
      <c r="Z7" s="87"/>
      <c r="AA7" s="87"/>
      <c r="AB7" s="87"/>
      <c r="AC7" s="87"/>
      <c r="AD7" s="87"/>
      <c r="AE7" s="87"/>
      <c r="AF7" s="87"/>
      <c r="AG7" s="87"/>
      <c r="AH7" s="87"/>
      <c r="AI7" s="87"/>
      <c r="AJ7" s="87"/>
      <c r="AK7" s="87"/>
      <c r="AL7" s="87"/>
      <c r="AM7" s="87"/>
      <c r="AN7" s="87"/>
      <c r="AO7" s="87"/>
      <c r="AP7" s="87"/>
      <c r="AQ7" s="87"/>
      <c r="AR7" s="87"/>
      <c r="AS7" s="87"/>
      <c r="AT7" s="87"/>
      <c r="AU7" s="87"/>
      <c r="AV7" s="87"/>
      <c r="AW7" s="87"/>
      <c r="AX7" s="87"/>
      <c r="AY7" s="87"/>
      <c r="AZ7" s="87"/>
      <c r="BA7" s="87"/>
      <c r="BB7" s="87"/>
      <c r="BC7" s="87"/>
      <c r="BD7" s="87"/>
      <c r="BE7" s="87"/>
      <c r="BF7" s="87"/>
      <c r="BG7" s="87"/>
      <c r="BH7" s="87"/>
      <c r="BI7" s="87"/>
      <c r="BJ7" s="87"/>
      <c r="BK7" s="87"/>
      <c r="BL7" s="87"/>
      <c r="BM7" s="87"/>
      <c r="BN7" s="87"/>
      <c r="BO7" s="87"/>
      <c r="BP7" s="87"/>
      <c r="BQ7" s="87"/>
      <c r="BR7" s="87"/>
      <c r="BS7" s="87"/>
      <c r="BT7" s="87"/>
      <c r="BU7" s="87"/>
      <c r="BV7" s="87"/>
      <c r="BW7" s="87"/>
      <c r="BX7" s="87"/>
      <c r="BY7" s="87"/>
      <c r="BZ7" s="87"/>
      <c r="CA7" s="87"/>
      <c r="CB7" s="87"/>
      <c r="CC7" s="87"/>
      <c r="CD7" s="87"/>
      <c r="CE7" s="87"/>
      <c r="CF7" s="87"/>
      <c r="CG7" s="87"/>
      <c r="CH7" s="87"/>
      <c r="CI7" s="87"/>
      <c r="CJ7" s="87"/>
      <c r="CK7" s="87"/>
      <c r="CL7" s="87"/>
      <c r="CM7" s="87"/>
      <c r="CN7" s="87"/>
      <c r="CO7" s="87"/>
      <c r="CP7" s="87"/>
      <c r="CQ7" s="87"/>
      <c r="CR7" s="87"/>
      <c r="CS7" s="87"/>
      <c r="CT7" s="87"/>
      <c r="CU7" s="87"/>
      <c r="CV7" s="87"/>
      <c r="CW7" s="87"/>
      <c r="CX7" s="87"/>
      <c r="CY7" s="87"/>
      <c r="CZ7" s="87"/>
      <c r="DA7" s="87"/>
      <c r="DB7" s="87"/>
      <c r="DC7" s="87"/>
    </row>
    <row r="8" spans="1:107" x14ac:dyDescent="0.2">
      <c r="A8" s="14" t="str">
        <f>IF(F8&lt;&gt;"",1+MAX($A$6:A7),"")</f>
        <v/>
      </c>
      <c r="B8" s="7"/>
      <c r="C8" s="28"/>
      <c r="D8" s="28"/>
      <c r="E8" s="92" t="s">
        <v>46</v>
      </c>
      <c r="F8" s="5"/>
      <c r="G8" s="16"/>
      <c r="H8" s="6"/>
      <c r="I8" s="7"/>
      <c r="J8" s="17"/>
      <c r="K8" s="17"/>
      <c r="L8" s="93"/>
      <c r="M8" s="120"/>
    </row>
    <row r="9" spans="1:107" ht="92.25" customHeight="1" x14ac:dyDescent="0.2">
      <c r="A9" s="14" t="str">
        <f>IF(F9&lt;&gt;"",1+MAX($A$6:A8),"")</f>
        <v/>
      </c>
      <c r="B9" s="7"/>
      <c r="C9" s="28"/>
      <c r="D9" s="28"/>
      <c r="E9" s="92" t="s">
        <v>96</v>
      </c>
      <c r="F9" s="5"/>
      <c r="G9" s="16"/>
      <c r="H9" s="6"/>
      <c r="I9" s="7"/>
      <c r="J9" s="17"/>
      <c r="K9" s="17"/>
      <c r="L9" s="93"/>
      <c r="M9" s="120"/>
    </row>
    <row r="10" spans="1:107" x14ac:dyDescent="0.2">
      <c r="A10" s="14">
        <f>IF(F10&lt;&gt;"",1+MAX($A$6:A9),"")</f>
        <v>1</v>
      </c>
      <c r="B10" s="7" t="s">
        <v>47</v>
      </c>
      <c r="C10" s="28" t="s">
        <v>48</v>
      </c>
      <c r="D10" s="28"/>
      <c r="E10" s="94" t="s">
        <v>104</v>
      </c>
      <c r="F10" s="5">
        <f>13*5*2.5/27</f>
        <v>6.0185185185185182</v>
      </c>
      <c r="G10" s="89">
        <v>7.0000000000000007E-2</v>
      </c>
      <c r="H10" s="6">
        <f>F10*(1+G10)</f>
        <v>6.4398148148148149</v>
      </c>
      <c r="I10" s="7" t="s">
        <v>16</v>
      </c>
      <c r="J10" s="36">
        <v>0</v>
      </c>
      <c r="K10" s="36">
        <v>0</v>
      </c>
      <c r="L10" s="36">
        <f>J10+K10</f>
        <v>0</v>
      </c>
      <c r="M10" s="121">
        <f>L10*H10</f>
        <v>0</v>
      </c>
      <c r="N10" s="88"/>
    </row>
    <row r="11" spans="1:107" x14ac:dyDescent="0.2">
      <c r="A11" s="14">
        <f>IF(F11&lt;&gt;"",1+MAX($A$6:A10),"")</f>
        <v>2</v>
      </c>
      <c r="B11" s="7" t="s">
        <v>47</v>
      </c>
      <c r="C11" s="28" t="s">
        <v>48</v>
      </c>
      <c r="D11" s="28"/>
      <c r="E11" s="94" t="s">
        <v>105</v>
      </c>
      <c r="F11" s="5">
        <f>2.044*1.2*2*2*13*5*1.13/0.83</f>
        <v>868.23209638554215</v>
      </c>
      <c r="G11" s="89">
        <v>7.0000000000000007E-2</v>
      </c>
      <c r="H11" s="6">
        <f>F11*(1+G11)</f>
        <v>929.00834313253017</v>
      </c>
      <c r="I11" s="7" t="s">
        <v>17</v>
      </c>
      <c r="J11" s="36">
        <v>0</v>
      </c>
      <c r="K11" s="36">
        <v>0</v>
      </c>
      <c r="L11" s="36">
        <f>J11+K11</f>
        <v>0</v>
      </c>
      <c r="M11" s="121">
        <f>L11*H11</f>
        <v>0</v>
      </c>
    </row>
    <row r="12" spans="1:107" x14ac:dyDescent="0.2">
      <c r="A12" s="14">
        <f>IF(F12&lt;&gt;"",1+MAX($A$6:A11),"")</f>
        <v>3</v>
      </c>
      <c r="B12" s="7" t="s">
        <v>47</v>
      </c>
      <c r="C12" s="28" t="s">
        <v>48</v>
      </c>
      <c r="D12" s="28"/>
      <c r="E12" s="94" t="s">
        <v>110</v>
      </c>
      <c r="F12" s="5">
        <f>2*18*2.5</f>
        <v>90</v>
      </c>
      <c r="G12" s="16">
        <v>7.0000000000000007E-2</v>
      </c>
      <c r="H12" s="6">
        <f>F12*(1+G12)</f>
        <v>96.300000000000011</v>
      </c>
      <c r="I12" s="7" t="s">
        <v>18</v>
      </c>
      <c r="J12" s="36">
        <v>0</v>
      </c>
      <c r="K12" s="36">
        <v>0</v>
      </c>
      <c r="L12" s="36">
        <f>J12+K12</f>
        <v>0</v>
      </c>
      <c r="M12" s="121">
        <f>L12*H12</f>
        <v>0</v>
      </c>
    </row>
    <row r="13" spans="1:107" x14ac:dyDescent="0.2">
      <c r="A13" s="14">
        <f>IF(F13&lt;&gt;"",1+MAX($A$6:A12),"")</f>
        <v>4</v>
      </c>
      <c r="B13" s="7" t="s">
        <v>47</v>
      </c>
      <c r="C13" s="28" t="s">
        <v>48</v>
      </c>
      <c r="D13" s="28"/>
      <c r="E13" s="94" t="s">
        <v>27</v>
      </c>
      <c r="F13" s="5">
        <f>14*6*4.5/27</f>
        <v>14</v>
      </c>
      <c r="G13" s="16">
        <v>7.0000000000000007E-2</v>
      </c>
      <c r="H13" s="6">
        <f>F13*(1+G13)</f>
        <v>14.98</v>
      </c>
      <c r="I13" s="7" t="s">
        <v>16</v>
      </c>
      <c r="J13" s="36">
        <v>0</v>
      </c>
      <c r="K13" s="36">
        <v>0</v>
      </c>
      <c r="L13" s="36">
        <f>J13+K13</f>
        <v>0</v>
      </c>
      <c r="M13" s="121">
        <f>L13*H13</f>
        <v>0</v>
      </c>
    </row>
    <row r="14" spans="1:107" x14ac:dyDescent="0.2">
      <c r="A14" s="14">
        <f>IF(F14&lt;&gt;"",1+MAX($A$6:A13),"")</f>
        <v>5</v>
      </c>
      <c r="B14" s="7" t="s">
        <v>47</v>
      </c>
      <c r="C14" s="28" t="s">
        <v>48</v>
      </c>
      <c r="D14" s="28"/>
      <c r="E14" s="94" t="s">
        <v>19</v>
      </c>
      <c r="F14" s="5">
        <f>F13-F10</f>
        <v>7.9814814814814818</v>
      </c>
      <c r="G14" s="16">
        <v>7.0000000000000007E-2</v>
      </c>
      <c r="H14" s="6">
        <f>F14*(1+G14)</f>
        <v>8.5401851851851855</v>
      </c>
      <c r="I14" s="7" t="s">
        <v>16</v>
      </c>
      <c r="J14" s="36">
        <v>0</v>
      </c>
      <c r="K14" s="36">
        <v>0</v>
      </c>
      <c r="L14" s="36">
        <f>J14+K14</f>
        <v>0</v>
      </c>
      <c r="M14" s="121">
        <f>L14*H14</f>
        <v>0</v>
      </c>
    </row>
    <row r="15" spans="1:107" x14ac:dyDescent="0.2">
      <c r="A15" s="14" t="str">
        <f>IF(F15&lt;&gt;"",1+MAX($A$6:A14),"")</f>
        <v/>
      </c>
      <c r="B15" s="7"/>
      <c r="C15" s="28"/>
      <c r="D15" s="28"/>
      <c r="E15" s="94"/>
      <c r="F15" s="5"/>
      <c r="G15" s="16"/>
      <c r="H15" s="6"/>
      <c r="I15" s="7"/>
      <c r="J15" s="36"/>
      <c r="K15" s="36"/>
      <c r="L15" s="36"/>
      <c r="M15" s="121"/>
    </row>
    <row r="16" spans="1:107" ht="96.75" customHeight="1" x14ac:dyDescent="0.2">
      <c r="A16" s="14" t="str">
        <f>IF(F16&lt;&gt;"",1+MAX($A$6:A15),"")</f>
        <v/>
      </c>
      <c r="B16" s="7"/>
      <c r="C16" s="28"/>
      <c r="D16" s="28"/>
      <c r="E16" s="92" t="s">
        <v>97</v>
      </c>
      <c r="F16" s="5"/>
      <c r="G16" s="16"/>
      <c r="H16" s="6"/>
      <c r="I16" s="7"/>
      <c r="J16" s="17"/>
      <c r="K16" s="17"/>
      <c r="L16" s="93"/>
      <c r="M16" s="120"/>
    </row>
    <row r="17" spans="1:14" x14ac:dyDescent="0.2">
      <c r="A17" s="14">
        <f>IF(F17&lt;&gt;"",1+MAX($A$6:A16),"")</f>
        <v>6</v>
      </c>
      <c r="B17" s="7" t="s">
        <v>47</v>
      </c>
      <c r="C17" s="28" t="s">
        <v>48</v>
      </c>
      <c r="D17" s="28"/>
      <c r="E17" s="94" t="s">
        <v>104</v>
      </c>
      <c r="F17" s="5">
        <f>6*6*2*3/27</f>
        <v>8</v>
      </c>
      <c r="G17" s="89">
        <v>7.0000000000000007E-2</v>
      </c>
      <c r="H17" s="6">
        <f>F17*(1+G17)</f>
        <v>8.56</v>
      </c>
      <c r="I17" s="7" t="s">
        <v>16</v>
      </c>
      <c r="J17" s="36">
        <f>J$10</f>
        <v>0</v>
      </c>
      <c r="K17" s="36">
        <f>K$10</f>
        <v>0</v>
      </c>
      <c r="L17" s="36">
        <f>J17+K17</f>
        <v>0</v>
      </c>
      <c r="M17" s="121">
        <f>L17*H17</f>
        <v>0</v>
      </c>
      <c r="N17" s="88"/>
    </row>
    <row r="18" spans="1:14" x14ac:dyDescent="0.2">
      <c r="A18" s="14">
        <f>IF(F18&lt;&gt;"",1+MAX($A$6:A17),"")</f>
        <v>7</v>
      </c>
      <c r="B18" s="7" t="s">
        <v>47</v>
      </c>
      <c r="C18" s="28" t="s">
        <v>48</v>
      </c>
      <c r="D18" s="28"/>
      <c r="E18" s="94" t="s">
        <v>65</v>
      </c>
      <c r="F18" s="5">
        <f>6*6*2.044*1.2*2*2*3</f>
        <v>1059.6096</v>
      </c>
      <c r="G18" s="89">
        <v>7.0000000000000007E-2</v>
      </c>
      <c r="H18" s="6">
        <f>F18*(1+G18)</f>
        <v>1133.7822720000001</v>
      </c>
      <c r="I18" s="7" t="s">
        <v>17</v>
      </c>
      <c r="J18" s="36">
        <f>J$11</f>
        <v>0</v>
      </c>
      <c r="K18" s="36">
        <f>K$11</f>
        <v>0</v>
      </c>
      <c r="L18" s="36">
        <f>J18+K18</f>
        <v>0</v>
      </c>
      <c r="M18" s="121">
        <f>L18*H18</f>
        <v>0</v>
      </c>
    </row>
    <row r="19" spans="1:14" x14ac:dyDescent="0.2">
      <c r="A19" s="14">
        <f>IF(F19&lt;&gt;"",1+MAX($A$6:A18),"")</f>
        <v>8</v>
      </c>
      <c r="B19" s="7" t="s">
        <v>47</v>
      </c>
      <c r="C19" s="28" t="s">
        <v>48</v>
      </c>
      <c r="D19" s="28"/>
      <c r="E19" s="94" t="s">
        <v>110</v>
      </c>
      <c r="F19" s="5">
        <f>4*6*2*3</f>
        <v>144</v>
      </c>
      <c r="G19" s="16">
        <v>7.0000000000000007E-2</v>
      </c>
      <c r="H19" s="6">
        <f>F19*(1+G19)</f>
        <v>154.08000000000001</v>
      </c>
      <c r="I19" s="7" t="s">
        <v>18</v>
      </c>
      <c r="J19" s="36">
        <f>J$12</f>
        <v>0</v>
      </c>
      <c r="K19" s="36">
        <f>K$12</f>
        <v>0</v>
      </c>
      <c r="L19" s="36">
        <f>J19+K19</f>
        <v>0</v>
      </c>
      <c r="M19" s="121">
        <f>L19*H19</f>
        <v>0</v>
      </c>
    </row>
    <row r="20" spans="1:14" x14ac:dyDescent="0.2">
      <c r="A20" s="14">
        <f>IF(F20&lt;&gt;"",1+MAX($A$6:A19),"")</f>
        <v>9</v>
      </c>
      <c r="B20" s="7" t="s">
        <v>47</v>
      </c>
      <c r="C20" s="28" t="s">
        <v>48</v>
      </c>
      <c r="D20" s="28"/>
      <c r="E20" s="94" t="s">
        <v>27</v>
      </c>
      <c r="F20" s="5">
        <f>7*7*4*3/27</f>
        <v>21.777777777777779</v>
      </c>
      <c r="G20" s="16">
        <v>7.0000000000000007E-2</v>
      </c>
      <c r="H20" s="6">
        <f>F20*(1+G20)</f>
        <v>23.302222222222223</v>
      </c>
      <c r="I20" s="7" t="s">
        <v>16</v>
      </c>
      <c r="J20" s="36">
        <f>J$13</f>
        <v>0</v>
      </c>
      <c r="K20" s="36">
        <f>K$13</f>
        <v>0</v>
      </c>
      <c r="L20" s="36">
        <f>J20+K20</f>
        <v>0</v>
      </c>
      <c r="M20" s="121">
        <f>L20*H20</f>
        <v>0</v>
      </c>
    </row>
    <row r="21" spans="1:14" x14ac:dyDescent="0.2">
      <c r="A21" s="14">
        <f>IF(F21&lt;&gt;"",1+MAX($A$6:A20),"")</f>
        <v>10</v>
      </c>
      <c r="B21" s="7" t="s">
        <v>47</v>
      </c>
      <c r="C21" s="28" t="s">
        <v>48</v>
      </c>
      <c r="D21" s="28"/>
      <c r="E21" s="94" t="s">
        <v>19</v>
      </c>
      <c r="F21" s="5">
        <f>F19-F16</f>
        <v>144</v>
      </c>
      <c r="G21" s="16">
        <v>7.0000000000000007E-2</v>
      </c>
      <c r="H21" s="6">
        <f>F21*(1+G21)</f>
        <v>154.08000000000001</v>
      </c>
      <c r="I21" s="7" t="s">
        <v>16</v>
      </c>
      <c r="J21" s="36">
        <f>J$14</f>
        <v>0</v>
      </c>
      <c r="K21" s="36">
        <f>K$14</f>
        <v>0</v>
      </c>
      <c r="L21" s="36">
        <f>J21+K21</f>
        <v>0</v>
      </c>
      <c r="M21" s="121">
        <f>L21*H21</f>
        <v>0</v>
      </c>
    </row>
    <row r="22" spans="1:14" x14ac:dyDescent="0.2">
      <c r="A22" s="14" t="str">
        <f>IF(F22&lt;&gt;"",1+MAX($A$6:A21),"")</f>
        <v/>
      </c>
      <c r="B22" s="7"/>
      <c r="C22" s="28"/>
      <c r="D22" s="28"/>
      <c r="E22" s="94"/>
      <c r="F22" s="5"/>
      <c r="G22" s="16"/>
      <c r="H22" s="6"/>
      <c r="I22" s="7"/>
      <c r="J22" s="36"/>
      <c r="K22" s="36"/>
      <c r="L22" s="36"/>
      <c r="M22" s="121"/>
    </row>
    <row r="23" spans="1:14" ht="95.25" customHeight="1" x14ac:dyDescent="0.2">
      <c r="A23" s="14" t="str">
        <f>IF(F23&lt;&gt;"",1+MAX($A$6:A22),"")</f>
        <v/>
      </c>
      <c r="B23" s="7"/>
      <c r="C23" s="28"/>
      <c r="D23" s="28"/>
      <c r="E23" s="92" t="s">
        <v>98</v>
      </c>
      <c r="F23" s="5"/>
      <c r="G23" s="16"/>
      <c r="H23" s="6"/>
      <c r="I23" s="7"/>
      <c r="J23" s="17"/>
      <c r="K23" s="17"/>
      <c r="L23" s="93"/>
      <c r="M23" s="120"/>
    </row>
    <row r="24" spans="1:14" x14ac:dyDescent="0.2">
      <c r="A24" s="14">
        <f>IF(F24&lt;&gt;"",1+MAX($A$6:A23),"")</f>
        <v>11</v>
      </c>
      <c r="B24" s="7" t="s">
        <v>47</v>
      </c>
      <c r="C24" s="28" t="s">
        <v>48</v>
      </c>
      <c r="D24" s="28"/>
      <c r="E24" s="94" t="s">
        <v>104</v>
      </c>
      <c r="F24" s="5">
        <f>24*6*2.5*3/27</f>
        <v>40</v>
      </c>
      <c r="G24" s="89">
        <v>7.0000000000000007E-2</v>
      </c>
      <c r="H24" s="6">
        <f>F24*(1+G24)</f>
        <v>42.800000000000004</v>
      </c>
      <c r="I24" s="7" t="s">
        <v>16</v>
      </c>
      <c r="J24" s="36">
        <f>J$10</f>
        <v>0</v>
      </c>
      <c r="K24" s="36">
        <f>K$10</f>
        <v>0</v>
      </c>
      <c r="L24" s="36">
        <f>J24+K24</f>
        <v>0</v>
      </c>
      <c r="M24" s="121">
        <f>L24*H24</f>
        <v>0</v>
      </c>
      <c r="N24" s="88"/>
    </row>
    <row r="25" spans="1:14" x14ac:dyDescent="0.2">
      <c r="A25" s="14">
        <f>IF(F25&lt;&gt;"",1+MAX($A$6:A24),"")</f>
        <v>12</v>
      </c>
      <c r="B25" s="7" t="s">
        <v>47</v>
      </c>
      <c r="C25" s="28" t="s">
        <v>48</v>
      </c>
      <c r="D25" s="28"/>
      <c r="E25" s="94" t="s">
        <v>105</v>
      </c>
      <c r="F25" s="5">
        <f>2.044*1.2*2*2*24*6*1.13/0.83</f>
        <v>1923.4680289156624</v>
      </c>
      <c r="G25" s="89">
        <v>7.0000000000000007E-2</v>
      </c>
      <c r="H25" s="6">
        <f>F25*(1+G25)</f>
        <v>2058.1107909397588</v>
      </c>
      <c r="I25" s="7" t="s">
        <v>17</v>
      </c>
      <c r="J25" s="36">
        <f>J$11</f>
        <v>0</v>
      </c>
      <c r="K25" s="36">
        <f>K$11</f>
        <v>0</v>
      </c>
      <c r="L25" s="36">
        <f>J25+K25</f>
        <v>0</v>
      </c>
      <c r="M25" s="121">
        <f>L25*H25</f>
        <v>0</v>
      </c>
    </row>
    <row r="26" spans="1:14" x14ac:dyDescent="0.2">
      <c r="A26" s="14">
        <f>IF(F26&lt;&gt;"",1+MAX($A$6:A25),"")</f>
        <v>13</v>
      </c>
      <c r="B26" s="7" t="s">
        <v>47</v>
      </c>
      <c r="C26" s="28" t="s">
        <v>48</v>
      </c>
      <c r="D26" s="28"/>
      <c r="E26" s="94" t="s">
        <v>110</v>
      </c>
      <c r="F26" s="5">
        <f>2*30*2.5*3</f>
        <v>450</v>
      </c>
      <c r="G26" s="16">
        <v>7.0000000000000007E-2</v>
      </c>
      <c r="H26" s="6">
        <f>F26*(1+G26)</f>
        <v>481.5</v>
      </c>
      <c r="I26" s="7" t="s">
        <v>18</v>
      </c>
      <c r="J26" s="36">
        <f>J$12</f>
        <v>0</v>
      </c>
      <c r="K26" s="36">
        <f>K$12</f>
        <v>0</v>
      </c>
      <c r="L26" s="36">
        <f>J26+K26</f>
        <v>0</v>
      </c>
      <c r="M26" s="121">
        <f>L26*H26</f>
        <v>0</v>
      </c>
    </row>
    <row r="27" spans="1:14" x14ac:dyDescent="0.2">
      <c r="A27" s="14">
        <f>IF(F27&lt;&gt;"",1+MAX($A$6:A26),"")</f>
        <v>14</v>
      </c>
      <c r="B27" s="7" t="s">
        <v>47</v>
      </c>
      <c r="C27" s="28" t="s">
        <v>48</v>
      </c>
      <c r="D27" s="28"/>
      <c r="E27" s="94" t="s">
        <v>27</v>
      </c>
      <c r="F27" s="5">
        <f>25*7*5*3/27</f>
        <v>97.222222222222229</v>
      </c>
      <c r="G27" s="16">
        <v>7.0000000000000007E-2</v>
      </c>
      <c r="H27" s="6">
        <f>F27*(1+G27)</f>
        <v>104.02777777777779</v>
      </c>
      <c r="I27" s="7" t="s">
        <v>16</v>
      </c>
      <c r="J27" s="36">
        <f>J$13</f>
        <v>0</v>
      </c>
      <c r="K27" s="36">
        <f>K$13</f>
        <v>0</v>
      </c>
      <c r="L27" s="36">
        <f>J27+K27</f>
        <v>0</v>
      </c>
      <c r="M27" s="121">
        <f>L27*H27</f>
        <v>0</v>
      </c>
    </row>
    <row r="28" spans="1:14" x14ac:dyDescent="0.2">
      <c r="A28" s="14">
        <f>IF(F28&lt;&gt;"",1+MAX($A$6:A27),"")</f>
        <v>15</v>
      </c>
      <c r="B28" s="7" t="s">
        <v>47</v>
      </c>
      <c r="C28" s="28" t="s">
        <v>48</v>
      </c>
      <c r="D28" s="28"/>
      <c r="E28" s="94" t="s">
        <v>19</v>
      </c>
      <c r="F28" s="5">
        <f>F27-F24</f>
        <v>57.222222222222229</v>
      </c>
      <c r="G28" s="16">
        <v>7.0000000000000007E-2</v>
      </c>
      <c r="H28" s="6">
        <f>F28*(1+G28)</f>
        <v>61.227777777777789</v>
      </c>
      <c r="I28" s="7" t="s">
        <v>16</v>
      </c>
      <c r="J28" s="36">
        <f>J$14</f>
        <v>0</v>
      </c>
      <c r="K28" s="36">
        <f>K$14</f>
        <v>0</v>
      </c>
      <c r="L28" s="36">
        <f>J28+K28</f>
        <v>0</v>
      </c>
      <c r="M28" s="121">
        <f>L28*H28</f>
        <v>0</v>
      </c>
    </row>
    <row r="29" spans="1:14" x14ac:dyDescent="0.2">
      <c r="A29" s="14" t="str">
        <f>IF(F29&lt;&gt;"",1+MAX($A$6:A28),"")</f>
        <v/>
      </c>
      <c r="B29" s="7"/>
      <c r="C29" s="28"/>
      <c r="D29" s="28"/>
      <c r="E29" s="94"/>
      <c r="F29" s="5"/>
      <c r="G29" s="16"/>
      <c r="H29" s="6"/>
      <c r="I29" s="7"/>
      <c r="J29" s="36"/>
      <c r="K29" s="36"/>
      <c r="L29" s="36"/>
      <c r="M29" s="121"/>
    </row>
    <row r="30" spans="1:14" ht="93.75" customHeight="1" x14ac:dyDescent="0.2">
      <c r="A30" s="14" t="str">
        <f>IF(F30&lt;&gt;"",1+MAX($A$6:A29),"")</f>
        <v/>
      </c>
      <c r="B30" s="7"/>
      <c r="C30" s="28"/>
      <c r="D30" s="28"/>
      <c r="E30" s="92" t="s">
        <v>99</v>
      </c>
      <c r="F30" s="5"/>
      <c r="G30" s="16"/>
      <c r="H30" s="6"/>
      <c r="I30" s="7"/>
      <c r="J30" s="17"/>
      <c r="K30" s="17"/>
      <c r="L30" s="93"/>
      <c r="M30" s="120"/>
    </row>
    <row r="31" spans="1:14" x14ac:dyDescent="0.2">
      <c r="A31" s="14">
        <f>IF(F31&lt;&gt;"",1+MAX($A$6:A30),"")</f>
        <v>16</v>
      </c>
      <c r="B31" s="7" t="s">
        <v>47</v>
      </c>
      <c r="C31" s="28" t="s">
        <v>48</v>
      </c>
      <c r="D31" s="28"/>
      <c r="E31" s="94" t="s">
        <v>104</v>
      </c>
      <c r="F31" s="5">
        <f>21*6*2.5/27</f>
        <v>11.666666666666666</v>
      </c>
      <c r="G31" s="89">
        <v>7.0000000000000007E-2</v>
      </c>
      <c r="H31" s="6">
        <f>F31*(1+G31)</f>
        <v>12.483333333333334</v>
      </c>
      <c r="I31" s="7" t="s">
        <v>16</v>
      </c>
      <c r="J31" s="36">
        <f>J$10</f>
        <v>0</v>
      </c>
      <c r="K31" s="36">
        <f>K$10</f>
        <v>0</v>
      </c>
      <c r="L31" s="36">
        <f>J31+K31</f>
        <v>0</v>
      </c>
      <c r="M31" s="121">
        <f>L31*H31</f>
        <v>0</v>
      </c>
      <c r="N31" s="88"/>
    </row>
    <row r="32" spans="1:14" x14ac:dyDescent="0.2">
      <c r="A32" s="14">
        <f>IF(F32&lt;&gt;"",1+MAX($A$6:A31),"")</f>
        <v>17</v>
      </c>
      <c r="B32" s="7" t="s">
        <v>47</v>
      </c>
      <c r="C32" s="28" t="s">
        <v>48</v>
      </c>
      <c r="D32" s="28"/>
      <c r="E32" s="94" t="s">
        <v>105</v>
      </c>
      <c r="F32" s="5">
        <f>2.044*1.2*2*2*21*6*1.13/0.83</f>
        <v>1683.0345253012044</v>
      </c>
      <c r="G32" s="89">
        <v>7.0000000000000007E-2</v>
      </c>
      <c r="H32" s="6">
        <f>F32*(1+G32)</f>
        <v>1800.8469420722888</v>
      </c>
      <c r="I32" s="7" t="s">
        <v>17</v>
      </c>
      <c r="J32" s="36">
        <f>J$11</f>
        <v>0</v>
      </c>
      <c r="K32" s="36">
        <f>K$11</f>
        <v>0</v>
      </c>
      <c r="L32" s="36">
        <f>J32+K32</f>
        <v>0</v>
      </c>
      <c r="M32" s="121">
        <f>L32*H32</f>
        <v>0</v>
      </c>
    </row>
    <row r="33" spans="1:14" x14ac:dyDescent="0.2">
      <c r="A33" s="14">
        <f>IF(F33&lt;&gt;"",1+MAX($A$6:A32),"")</f>
        <v>18</v>
      </c>
      <c r="B33" s="7" t="s">
        <v>47</v>
      </c>
      <c r="C33" s="28" t="s">
        <v>48</v>
      </c>
      <c r="D33" s="28"/>
      <c r="E33" s="94" t="s">
        <v>110</v>
      </c>
      <c r="F33" s="5">
        <f>2*27*2.5</f>
        <v>135</v>
      </c>
      <c r="G33" s="16">
        <v>7.0000000000000007E-2</v>
      </c>
      <c r="H33" s="6">
        <f>F33*(1+G33)</f>
        <v>144.45000000000002</v>
      </c>
      <c r="I33" s="7" t="s">
        <v>18</v>
      </c>
      <c r="J33" s="36">
        <f>J$12</f>
        <v>0</v>
      </c>
      <c r="K33" s="36">
        <f>K$12</f>
        <v>0</v>
      </c>
      <c r="L33" s="36">
        <f>J33+K33</f>
        <v>0</v>
      </c>
      <c r="M33" s="121">
        <f>L33*H33</f>
        <v>0</v>
      </c>
    </row>
    <row r="34" spans="1:14" x14ac:dyDescent="0.2">
      <c r="A34" s="14">
        <f>IF(F34&lt;&gt;"",1+MAX($A$6:A33),"")</f>
        <v>19</v>
      </c>
      <c r="B34" s="7" t="s">
        <v>47</v>
      </c>
      <c r="C34" s="28" t="s">
        <v>48</v>
      </c>
      <c r="D34" s="28"/>
      <c r="E34" s="94" t="s">
        <v>27</v>
      </c>
      <c r="F34" s="5">
        <f>22*7*5/27</f>
        <v>28.518518518518519</v>
      </c>
      <c r="G34" s="16">
        <v>7.0000000000000007E-2</v>
      </c>
      <c r="H34" s="6">
        <f>F34*(1+G34)</f>
        <v>30.514814814814816</v>
      </c>
      <c r="I34" s="7" t="s">
        <v>16</v>
      </c>
      <c r="J34" s="36">
        <f>J$13</f>
        <v>0</v>
      </c>
      <c r="K34" s="36">
        <f>K$13</f>
        <v>0</v>
      </c>
      <c r="L34" s="36">
        <f>J34+K34</f>
        <v>0</v>
      </c>
      <c r="M34" s="121">
        <f>L34*H34</f>
        <v>0</v>
      </c>
    </row>
    <row r="35" spans="1:14" x14ac:dyDescent="0.2">
      <c r="A35" s="14">
        <f>IF(F35&lt;&gt;"",1+MAX($A$6:A34),"")</f>
        <v>20</v>
      </c>
      <c r="B35" s="7" t="s">
        <v>47</v>
      </c>
      <c r="C35" s="28" t="s">
        <v>48</v>
      </c>
      <c r="D35" s="28"/>
      <c r="E35" s="94" t="s">
        <v>19</v>
      </c>
      <c r="F35" s="5">
        <f>F34-F31</f>
        <v>16.851851851851855</v>
      </c>
      <c r="G35" s="16">
        <v>7.0000000000000007E-2</v>
      </c>
      <c r="H35" s="6">
        <f>F35*(1+G35)</f>
        <v>18.031481481481485</v>
      </c>
      <c r="I35" s="7" t="s">
        <v>16</v>
      </c>
      <c r="J35" s="36">
        <f>J$14</f>
        <v>0</v>
      </c>
      <c r="K35" s="36">
        <f>K$14</f>
        <v>0</v>
      </c>
      <c r="L35" s="36">
        <f>J35+K35</f>
        <v>0</v>
      </c>
      <c r="M35" s="121">
        <f>L35*H35</f>
        <v>0</v>
      </c>
    </row>
    <row r="36" spans="1:14" x14ac:dyDescent="0.2">
      <c r="A36" s="14" t="str">
        <f>IF(F36&lt;&gt;"",1+MAX($A$6:A35),"")</f>
        <v/>
      </c>
      <c r="B36" s="7"/>
      <c r="C36" s="28"/>
      <c r="D36" s="28"/>
      <c r="E36" s="94"/>
      <c r="F36" s="5"/>
      <c r="G36" s="16"/>
      <c r="H36" s="6"/>
      <c r="I36" s="7"/>
      <c r="J36" s="36"/>
      <c r="K36" s="36"/>
      <c r="L36" s="36"/>
      <c r="M36" s="121"/>
    </row>
    <row r="37" spans="1:14" ht="94.5" customHeight="1" x14ac:dyDescent="0.2">
      <c r="A37" s="14" t="str">
        <f>IF(F37&lt;&gt;"",1+MAX($A$6:A36),"")</f>
        <v/>
      </c>
      <c r="B37" s="7"/>
      <c r="C37" s="28"/>
      <c r="D37" s="28"/>
      <c r="E37" s="92" t="s">
        <v>100</v>
      </c>
      <c r="F37" s="5"/>
      <c r="G37" s="16"/>
      <c r="H37" s="6"/>
      <c r="I37" s="7"/>
      <c r="J37" s="17"/>
      <c r="K37" s="17"/>
      <c r="L37" s="93"/>
      <c r="M37" s="120"/>
    </row>
    <row r="38" spans="1:14" x14ac:dyDescent="0.2">
      <c r="A38" s="14">
        <f>IF(F38&lt;&gt;"",1+MAX($A$6:A37),"")</f>
        <v>21</v>
      </c>
      <c r="B38" s="7" t="s">
        <v>47</v>
      </c>
      <c r="C38" s="28" t="s">
        <v>48</v>
      </c>
      <c r="D38" s="28"/>
      <c r="E38" s="94" t="s">
        <v>104</v>
      </c>
      <c r="F38" s="5">
        <f>7*7*2*2/27</f>
        <v>7.2592592592592595</v>
      </c>
      <c r="G38" s="89">
        <v>7.0000000000000007E-2</v>
      </c>
      <c r="H38" s="6">
        <f>F38*(1+G38)</f>
        <v>7.7674074074074078</v>
      </c>
      <c r="I38" s="7" t="s">
        <v>16</v>
      </c>
      <c r="J38" s="36">
        <f>J$10</f>
        <v>0</v>
      </c>
      <c r="K38" s="36">
        <f>K$10</f>
        <v>0</v>
      </c>
      <c r="L38" s="36">
        <f>J38+K38</f>
        <v>0</v>
      </c>
      <c r="M38" s="121">
        <f>L38*H38</f>
        <v>0</v>
      </c>
      <c r="N38" s="88"/>
    </row>
    <row r="39" spans="1:14" x14ac:dyDescent="0.2">
      <c r="A39" s="14">
        <f>IF(F39&lt;&gt;"",1+MAX($A$6:A38),"")</f>
        <v>22</v>
      </c>
      <c r="B39" s="7" t="s">
        <v>47</v>
      </c>
      <c r="C39" s="28" t="s">
        <v>48</v>
      </c>
      <c r="D39" s="28"/>
      <c r="E39" s="94" t="s">
        <v>49</v>
      </c>
      <c r="F39" s="5">
        <f>7*7*2.044*1.2*2*2*2</f>
        <v>961.49760000000003</v>
      </c>
      <c r="G39" s="89">
        <v>7.0000000000000007E-2</v>
      </c>
      <c r="H39" s="6">
        <f>F39*(1+G39)</f>
        <v>1028.8024320000002</v>
      </c>
      <c r="I39" s="7" t="s">
        <v>17</v>
      </c>
      <c r="J39" s="36">
        <f>J$11</f>
        <v>0</v>
      </c>
      <c r="K39" s="36">
        <f>K$11</f>
        <v>0</v>
      </c>
      <c r="L39" s="36">
        <f>J39+K39</f>
        <v>0</v>
      </c>
      <c r="M39" s="121">
        <f>L39*H39</f>
        <v>0</v>
      </c>
    </row>
    <row r="40" spans="1:14" x14ac:dyDescent="0.2">
      <c r="A40" s="14">
        <f>IF(F40&lt;&gt;"",1+MAX($A$6:A39),"")</f>
        <v>23</v>
      </c>
      <c r="B40" s="7" t="s">
        <v>47</v>
      </c>
      <c r="C40" s="28" t="s">
        <v>48</v>
      </c>
      <c r="D40" s="28"/>
      <c r="E40" s="94" t="s">
        <v>110</v>
      </c>
      <c r="F40" s="5">
        <f>4*7*2*2</f>
        <v>112</v>
      </c>
      <c r="G40" s="16">
        <v>7.0000000000000007E-2</v>
      </c>
      <c r="H40" s="6">
        <f>F40*(1+G40)</f>
        <v>119.84</v>
      </c>
      <c r="I40" s="7" t="s">
        <v>18</v>
      </c>
      <c r="J40" s="36">
        <f>J$12</f>
        <v>0</v>
      </c>
      <c r="K40" s="36">
        <f>K$12</f>
        <v>0</v>
      </c>
      <c r="L40" s="36">
        <f>J40+K40</f>
        <v>0</v>
      </c>
      <c r="M40" s="121">
        <f>L40*H40</f>
        <v>0</v>
      </c>
    </row>
    <row r="41" spans="1:14" x14ac:dyDescent="0.2">
      <c r="A41" s="14">
        <f>IF(F41&lt;&gt;"",1+MAX($A$6:A40),"")</f>
        <v>24</v>
      </c>
      <c r="B41" s="7" t="s">
        <v>47</v>
      </c>
      <c r="C41" s="28" t="s">
        <v>48</v>
      </c>
      <c r="D41" s="28"/>
      <c r="E41" s="94" t="s">
        <v>27</v>
      </c>
      <c r="F41" s="5">
        <f>8*8*4*2/27</f>
        <v>18.962962962962962</v>
      </c>
      <c r="G41" s="16">
        <v>7.0000000000000007E-2</v>
      </c>
      <c r="H41" s="6">
        <f>F41*(1+G41)</f>
        <v>20.290370370370372</v>
      </c>
      <c r="I41" s="7" t="s">
        <v>16</v>
      </c>
      <c r="J41" s="36">
        <f>J$13</f>
        <v>0</v>
      </c>
      <c r="K41" s="36">
        <f>K$13</f>
        <v>0</v>
      </c>
      <c r="L41" s="36">
        <f>J41+K41</f>
        <v>0</v>
      </c>
      <c r="M41" s="121">
        <f>L41*H41</f>
        <v>0</v>
      </c>
    </row>
    <row r="42" spans="1:14" x14ac:dyDescent="0.2">
      <c r="A42" s="14">
        <f>IF(F42&lt;&gt;"",1+MAX($A$6:A41),"")</f>
        <v>25</v>
      </c>
      <c r="B42" s="7" t="s">
        <v>47</v>
      </c>
      <c r="C42" s="28" t="s">
        <v>48</v>
      </c>
      <c r="D42" s="28"/>
      <c r="E42" s="94" t="s">
        <v>19</v>
      </c>
      <c r="F42" s="5">
        <f>F41-F38</f>
        <v>11.703703703703702</v>
      </c>
      <c r="G42" s="16">
        <v>7.0000000000000007E-2</v>
      </c>
      <c r="H42" s="6">
        <f>F42*(1+G42)</f>
        <v>12.522962962962962</v>
      </c>
      <c r="I42" s="7" t="s">
        <v>16</v>
      </c>
      <c r="J42" s="36">
        <f>J$14</f>
        <v>0</v>
      </c>
      <c r="K42" s="36">
        <f>K$14</f>
        <v>0</v>
      </c>
      <c r="L42" s="36">
        <f>J42+K42</f>
        <v>0</v>
      </c>
      <c r="M42" s="121">
        <f>L42*H42</f>
        <v>0</v>
      </c>
    </row>
    <row r="43" spans="1:14" x14ac:dyDescent="0.2">
      <c r="A43" s="14" t="str">
        <f>IF(F43&lt;&gt;"",1+MAX($A$6:A42),"")</f>
        <v/>
      </c>
      <c r="B43" s="7"/>
      <c r="C43" s="28"/>
      <c r="D43" s="28"/>
      <c r="E43" s="94"/>
      <c r="F43" s="5"/>
      <c r="G43" s="16"/>
      <c r="H43" s="6"/>
      <c r="I43" s="7"/>
      <c r="J43" s="36"/>
      <c r="K43" s="36"/>
      <c r="L43" s="36"/>
      <c r="M43" s="121"/>
    </row>
    <row r="44" spans="1:14" ht="94.5" customHeight="1" x14ac:dyDescent="0.2">
      <c r="A44" s="14" t="str">
        <f>IF(F44&lt;&gt;"",1+MAX($A$6:A43),"")</f>
        <v/>
      </c>
      <c r="B44" s="7"/>
      <c r="C44" s="28"/>
      <c r="D44" s="28"/>
      <c r="E44" s="92" t="s">
        <v>101</v>
      </c>
      <c r="F44" s="5"/>
      <c r="G44" s="16"/>
      <c r="H44" s="6"/>
      <c r="I44" s="7"/>
      <c r="J44" s="17"/>
      <c r="K44" s="17"/>
      <c r="L44" s="93"/>
      <c r="M44" s="120"/>
    </row>
    <row r="45" spans="1:14" x14ac:dyDescent="0.2">
      <c r="A45" s="14">
        <f>IF(F45&lt;&gt;"",1+MAX($A$6:A44),"")</f>
        <v>26</v>
      </c>
      <c r="B45" s="7" t="s">
        <v>47</v>
      </c>
      <c r="C45" s="28" t="s">
        <v>48</v>
      </c>
      <c r="D45" s="28"/>
      <c r="E45" s="94" t="s">
        <v>104</v>
      </c>
      <c r="F45" s="5">
        <f>8*8*2/27</f>
        <v>4.7407407407407405</v>
      </c>
      <c r="G45" s="89">
        <v>7.0000000000000007E-2</v>
      </c>
      <c r="H45" s="6">
        <f>F45*(1+G45)</f>
        <v>5.072592592592593</v>
      </c>
      <c r="I45" s="7" t="s">
        <v>16</v>
      </c>
      <c r="J45" s="36">
        <f>J$10</f>
        <v>0</v>
      </c>
      <c r="K45" s="36">
        <f>K$10</f>
        <v>0</v>
      </c>
      <c r="L45" s="36">
        <f>J45+K45</f>
        <v>0</v>
      </c>
      <c r="M45" s="121">
        <f>L45*H45</f>
        <v>0</v>
      </c>
      <c r="N45" s="88"/>
    </row>
    <row r="46" spans="1:14" x14ac:dyDescent="0.2">
      <c r="A46" s="14">
        <f>IF(F46&lt;&gt;"",1+MAX($A$6:A45),"")</f>
        <v>27</v>
      </c>
      <c r="B46" s="7" t="s">
        <v>47</v>
      </c>
      <c r="C46" s="28" t="s">
        <v>48</v>
      </c>
      <c r="D46" s="28"/>
      <c r="E46" s="94" t="s">
        <v>49</v>
      </c>
      <c r="F46" s="5">
        <f>7*8*2.044*1.2*2*2</f>
        <v>549.42719999999997</v>
      </c>
      <c r="G46" s="89">
        <v>7.0000000000000007E-2</v>
      </c>
      <c r="H46" s="6">
        <f>F46*(1+G46)</f>
        <v>587.88710400000002</v>
      </c>
      <c r="I46" s="7" t="s">
        <v>17</v>
      </c>
      <c r="J46" s="36">
        <f>J$11</f>
        <v>0</v>
      </c>
      <c r="K46" s="36">
        <f>K$11</f>
        <v>0</v>
      </c>
      <c r="L46" s="36">
        <f>J46+K46</f>
        <v>0</v>
      </c>
      <c r="M46" s="121">
        <f>L46*H46</f>
        <v>0</v>
      </c>
    </row>
    <row r="47" spans="1:14" x14ac:dyDescent="0.2">
      <c r="A47" s="14">
        <f>IF(F47&lt;&gt;"",1+MAX($A$6:A46),"")</f>
        <v>28</v>
      </c>
      <c r="B47" s="7" t="s">
        <v>47</v>
      </c>
      <c r="C47" s="28" t="s">
        <v>48</v>
      </c>
      <c r="D47" s="28"/>
      <c r="E47" s="94" t="s">
        <v>110</v>
      </c>
      <c r="F47" s="5">
        <f>4*8*2</f>
        <v>64</v>
      </c>
      <c r="G47" s="16">
        <v>7.0000000000000007E-2</v>
      </c>
      <c r="H47" s="6">
        <f>F47*(1+G47)</f>
        <v>68.48</v>
      </c>
      <c r="I47" s="7" t="s">
        <v>18</v>
      </c>
      <c r="J47" s="36">
        <f>J$12</f>
        <v>0</v>
      </c>
      <c r="K47" s="36">
        <f>K$12</f>
        <v>0</v>
      </c>
      <c r="L47" s="36">
        <f>J47+K47</f>
        <v>0</v>
      </c>
      <c r="M47" s="121">
        <f>L47*H47</f>
        <v>0</v>
      </c>
    </row>
    <row r="48" spans="1:14" x14ac:dyDescent="0.2">
      <c r="A48" s="14">
        <f>IF(F48&lt;&gt;"",1+MAX($A$6:A47),"")</f>
        <v>29</v>
      </c>
      <c r="B48" s="7" t="s">
        <v>47</v>
      </c>
      <c r="C48" s="28" t="s">
        <v>48</v>
      </c>
      <c r="D48" s="28"/>
      <c r="E48" s="94" t="s">
        <v>27</v>
      </c>
      <c r="F48" s="5">
        <f>9*9*4/27</f>
        <v>12</v>
      </c>
      <c r="G48" s="16">
        <v>7.0000000000000007E-2</v>
      </c>
      <c r="H48" s="6">
        <f>F48*(1+G48)</f>
        <v>12.84</v>
      </c>
      <c r="I48" s="7" t="s">
        <v>16</v>
      </c>
      <c r="J48" s="36">
        <f>J$13</f>
        <v>0</v>
      </c>
      <c r="K48" s="36">
        <f>K$13</f>
        <v>0</v>
      </c>
      <c r="L48" s="36">
        <f>J48+K48</f>
        <v>0</v>
      </c>
      <c r="M48" s="121">
        <f>L48*H48</f>
        <v>0</v>
      </c>
    </row>
    <row r="49" spans="1:13" x14ac:dyDescent="0.2">
      <c r="A49" s="14">
        <f>IF(F49&lt;&gt;"",1+MAX($A$6:A48),"")</f>
        <v>30</v>
      </c>
      <c r="B49" s="7" t="s">
        <v>47</v>
      </c>
      <c r="C49" s="28" t="s">
        <v>48</v>
      </c>
      <c r="D49" s="28"/>
      <c r="E49" s="94" t="s">
        <v>19</v>
      </c>
      <c r="F49" s="5">
        <f>F48-F45</f>
        <v>7.2592592592592595</v>
      </c>
      <c r="G49" s="16">
        <v>7.0000000000000007E-2</v>
      </c>
      <c r="H49" s="6">
        <f>F49*(1+G49)</f>
        <v>7.7674074074074078</v>
      </c>
      <c r="I49" s="7" t="s">
        <v>16</v>
      </c>
      <c r="J49" s="36">
        <f>J$14</f>
        <v>0</v>
      </c>
      <c r="K49" s="36">
        <f>K$14</f>
        <v>0</v>
      </c>
      <c r="L49" s="36">
        <f>J49+K49</f>
        <v>0</v>
      </c>
      <c r="M49" s="121">
        <f>L49*H49</f>
        <v>0</v>
      </c>
    </row>
    <row r="50" spans="1:13" x14ac:dyDescent="0.2">
      <c r="A50" s="14" t="str">
        <f>IF(F50&lt;&gt;"",1+MAX($A$6:A49),"")</f>
        <v/>
      </c>
      <c r="B50" s="7"/>
      <c r="C50" s="28"/>
      <c r="D50" s="28"/>
      <c r="E50" s="94"/>
      <c r="F50" s="5"/>
      <c r="G50" s="16"/>
      <c r="H50" s="6"/>
      <c r="I50" s="6"/>
      <c r="J50" s="6"/>
      <c r="K50" s="6"/>
      <c r="L50" s="6"/>
      <c r="M50" s="122"/>
    </row>
    <row r="51" spans="1:13" x14ac:dyDescent="0.2">
      <c r="A51" s="14" t="str">
        <f>IF(F51&lt;&gt;"",1+MAX($A$6:A50),"")</f>
        <v/>
      </c>
      <c r="B51" s="7"/>
      <c r="C51" s="28"/>
      <c r="D51" s="28"/>
      <c r="E51" s="96" t="s">
        <v>155</v>
      </c>
      <c r="F51" s="5"/>
      <c r="G51" s="16"/>
      <c r="H51" s="6"/>
      <c r="I51" s="6"/>
      <c r="J51" s="6"/>
      <c r="K51" s="6"/>
      <c r="L51" s="6"/>
      <c r="M51" s="121"/>
    </row>
    <row r="52" spans="1:13" x14ac:dyDescent="0.2">
      <c r="A52" s="14">
        <f>IF(F52&lt;&gt;"",1+MAX($A$6:A51),"")</f>
        <v>31</v>
      </c>
      <c r="B52" s="7" t="s">
        <v>47</v>
      </c>
      <c r="C52" s="28" t="s">
        <v>48</v>
      </c>
      <c r="D52" s="28"/>
      <c r="E52" s="94" t="s">
        <v>155</v>
      </c>
      <c r="F52" s="5">
        <v>18</v>
      </c>
      <c r="G52" s="16">
        <v>0</v>
      </c>
      <c r="H52" s="6">
        <f>F52*(1+G52)</f>
        <v>18</v>
      </c>
      <c r="I52" s="7" t="s">
        <v>51</v>
      </c>
      <c r="J52" s="36">
        <v>0</v>
      </c>
      <c r="K52" s="36">
        <v>0</v>
      </c>
      <c r="L52" s="36">
        <f>J52+K52</f>
        <v>0</v>
      </c>
      <c r="M52" s="121">
        <f>L52*H52</f>
        <v>0</v>
      </c>
    </row>
    <row r="53" spans="1:13" x14ac:dyDescent="0.2">
      <c r="A53" s="14" t="str">
        <f>IF(F53&lt;&gt;"",1+MAX($A$6:A52),"")</f>
        <v/>
      </c>
      <c r="B53" s="7"/>
      <c r="C53" s="28"/>
      <c r="D53" s="28"/>
      <c r="E53" s="27"/>
      <c r="F53" s="5"/>
      <c r="G53" s="16"/>
      <c r="H53" s="6"/>
      <c r="I53" s="7"/>
      <c r="J53" s="36"/>
      <c r="K53" s="36"/>
      <c r="L53" s="97"/>
      <c r="M53" s="121"/>
    </row>
    <row r="54" spans="1:13" x14ac:dyDescent="0.2">
      <c r="A54" s="14" t="str">
        <f>IF(F54&lt;&gt;"",1+MAX($A$6:A53),"")</f>
        <v/>
      </c>
      <c r="B54" s="7"/>
      <c r="C54" s="28"/>
      <c r="D54" s="28"/>
      <c r="E54" s="92" t="s">
        <v>52</v>
      </c>
      <c r="F54" s="5"/>
      <c r="G54" s="16"/>
      <c r="H54" s="6"/>
      <c r="I54" s="7"/>
      <c r="J54" s="17"/>
      <c r="K54" s="17"/>
      <c r="L54" s="93"/>
      <c r="M54" s="120"/>
    </row>
    <row r="55" spans="1:13" ht="94.5" customHeight="1" x14ac:dyDescent="0.2">
      <c r="A55" s="14" t="str">
        <f>IF(F55&lt;&gt;"",1+MAX($A$6:A54),"")</f>
        <v/>
      </c>
      <c r="B55" s="7"/>
      <c r="C55" s="28"/>
      <c r="D55" s="28"/>
      <c r="E55" s="92" t="s">
        <v>112</v>
      </c>
      <c r="F55" s="5"/>
      <c r="G55" s="16"/>
      <c r="H55" s="6"/>
      <c r="I55" s="7"/>
      <c r="J55" s="17"/>
      <c r="K55" s="17"/>
      <c r="L55" s="93"/>
      <c r="M55" s="120"/>
    </row>
    <row r="56" spans="1:13" x14ac:dyDescent="0.2">
      <c r="A56" s="14">
        <f>IF(F56&lt;&gt;"",1+MAX($A$6:A55),"")</f>
        <v>32</v>
      </c>
      <c r="B56" s="7" t="s">
        <v>47</v>
      </c>
      <c r="C56" s="28" t="s">
        <v>48</v>
      </c>
      <c r="D56" s="28"/>
      <c r="E56" s="94" t="s">
        <v>104</v>
      </c>
      <c r="F56" s="5">
        <f>2*2*1.67*8/27</f>
        <v>1.9792592592592593</v>
      </c>
      <c r="G56" s="89">
        <v>7.0000000000000007E-2</v>
      </c>
      <c r="H56" s="6">
        <f>F56*(1+G56)</f>
        <v>2.1178074074074074</v>
      </c>
      <c r="I56" s="7" t="s">
        <v>16</v>
      </c>
      <c r="J56" s="36">
        <f>J$10</f>
        <v>0</v>
      </c>
      <c r="K56" s="36">
        <f>K$10</f>
        <v>0</v>
      </c>
      <c r="L56" s="36">
        <f>J56+K56</f>
        <v>0</v>
      </c>
      <c r="M56" s="121">
        <f>L56*H56</f>
        <v>0</v>
      </c>
    </row>
    <row r="57" spans="1:13" x14ac:dyDescent="0.2">
      <c r="A57" s="14">
        <f>IF(F57&lt;&gt;"",1+MAX($A$6:A56),"")</f>
        <v>33</v>
      </c>
      <c r="B57" s="7" t="s">
        <v>47</v>
      </c>
      <c r="C57" s="28" t="s">
        <v>48</v>
      </c>
      <c r="D57" s="28"/>
      <c r="E57" s="94" t="s">
        <v>53</v>
      </c>
      <c r="F57" s="5">
        <f>4*4*1.5*1.2*8</f>
        <v>230.39999999999998</v>
      </c>
      <c r="G57" s="16">
        <v>7.0000000000000007E-2</v>
      </c>
      <c r="H57" s="6">
        <f>F57*(1+G57)</f>
        <v>246.52799999999999</v>
      </c>
      <c r="I57" s="7" t="s">
        <v>17</v>
      </c>
      <c r="J57" s="36">
        <f>J$11</f>
        <v>0</v>
      </c>
      <c r="K57" s="36">
        <f>K$11</f>
        <v>0</v>
      </c>
      <c r="L57" s="36">
        <f>J57+K57</f>
        <v>0</v>
      </c>
      <c r="M57" s="121">
        <f>L57*H57</f>
        <v>0</v>
      </c>
    </row>
    <row r="58" spans="1:13" x14ac:dyDescent="0.2">
      <c r="A58" s="14">
        <f>IF(F58&lt;&gt;"",1+MAX($A$6:A57),"")</f>
        <v>34</v>
      </c>
      <c r="B58" s="7" t="s">
        <v>47</v>
      </c>
      <c r="C58" s="28" t="s">
        <v>48</v>
      </c>
      <c r="D58" s="28"/>
      <c r="E58" s="94" t="s">
        <v>106</v>
      </c>
      <c r="F58" s="5">
        <f>4*8.5*0.376*1.2*8</f>
        <v>122.7264</v>
      </c>
      <c r="G58" s="16">
        <v>7.0000000000000007E-2</v>
      </c>
      <c r="H58" s="6">
        <f>F58*(1+G58)</f>
        <v>131.31724800000001</v>
      </c>
      <c r="I58" s="7" t="s">
        <v>17</v>
      </c>
      <c r="J58" s="36">
        <f>J$11</f>
        <v>0</v>
      </c>
      <c r="K58" s="36">
        <f>K$11</f>
        <v>0</v>
      </c>
      <c r="L58" s="36">
        <f>J58+K58</f>
        <v>0</v>
      </c>
      <c r="M58" s="121">
        <f>L58*H58</f>
        <v>0</v>
      </c>
    </row>
    <row r="59" spans="1:13" x14ac:dyDescent="0.2">
      <c r="A59" s="14">
        <f>IF(F59&lt;&gt;"",1+MAX($A$6:A58),"")</f>
        <v>35</v>
      </c>
      <c r="B59" s="7" t="s">
        <v>47</v>
      </c>
      <c r="C59" s="28" t="s">
        <v>48</v>
      </c>
      <c r="D59" s="28"/>
      <c r="E59" s="94" t="s">
        <v>111</v>
      </c>
      <c r="F59" s="5">
        <f>4*2*1.67*8</f>
        <v>106.88</v>
      </c>
      <c r="G59" s="16">
        <v>7.0000000000000007E-2</v>
      </c>
      <c r="H59" s="6">
        <f>F59*(1+G59)</f>
        <v>114.3616</v>
      </c>
      <c r="I59" s="7" t="s">
        <v>18</v>
      </c>
      <c r="J59" s="36">
        <v>0</v>
      </c>
      <c r="K59" s="36">
        <v>0</v>
      </c>
      <c r="L59" s="36">
        <f>J59+K59</f>
        <v>0</v>
      </c>
      <c r="M59" s="121">
        <f>L59*H59</f>
        <v>0</v>
      </c>
    </row>
    <row r="60" spans="1:13" x14ac:dyDescent="0.2">
      <c r="A60" s="14" t="str">
        <f>IF(F60&lt;&gt;"",1+MAX($A$6:A59),"")</f>
        <v/>
      </c>
      <c r="B60" s="7"/>
      <c r="C60" s="28"/>
      <c r="D60" s="28"/>
      <c r="E60" s="27"/>
      <c r="F60" s="5"/>
      <c r="G60" s="16"/>
      <c r="H60" s="6"/>
      <c r="I60" s="7"/>
      <c r="J60" s="36"/>
      <c r="K60" s="36"/>
      <c r="L60" s="97"/>
      <c r="M60" s="121"/>
    </row>
    <row r="61" spans="1:13" ht="95.25" customHeight="1" x14ac:dyDescent="0.2">
      <c r="A61" s="14" t="str">
        <f>IF(F61&lt;&gt;"",1+MAX($A$6:A60),"")</f>
        <v/>
      </c>
      <c r="B61" s="7"/>
      <c r="C61" s="28"/>
      <c r="D61" s="28"/>
      <c r="E61" s="92" t="s">
        <v>113</v>
      </c>
      <c r="F61" s="5"/>
      <c r="G61" s="16"/>
      <c r="H61" s="6"/>
      <c r="I61" s="7"/>
      <c r="J61" s="17"/>
      <c r="K61" s="17"/>
      <c r="L61" s="93"/>
      <c r="M61" s="120"/>
    </row>
    <row r="62" spans="1:13" x14ac:dyDescent="0.2">
      <c r="A62" s="14">
        <f>IF(F62&lt;&gt;"",1+MAX($A$6:A61),"")</f>
        <v>36</v>
      </c>
      <c r="B62" s="7" t="s">
        <v>47</v>
      </c>
      <c r="C62" s="28" t="s">
        <v>48</v>
      </c>
      <c r="D62" s="28"/>
      <c r="E62" s="94" t="s">
        <v>104</v>
      </c>
      <c r="F62" s="5">
        <f>3.5*3.5*1.67*8/27</f>
        <v>6.061481481481481</v>
      </c>
      <c r="G62" s="89">
        <v>7.0000000000000007E-2</v>
      </c>
      <c r="H62" s="6">
        <f>F62*(1+G62)</f>
        <v>6.4857851851851853</v>
      </c>
      <c r="I62" s="7" t="s">
        <v>16</v>
      </c>
      <c r="J62" s="36">
        <f>J$10</f>
        <v>0</v>
      </c>
      <c r="K62" s="36">
        <f>K$10</f>
        <v>0</v>
      </c>
      <c r="L62" s="36">
        <f>J62+K62</f>
        <v>0</v>
      </c>
      <c r="M62" s="121">
        <f>L62*H62</f>
        <v>0</v>
      </c>
    </row>
    <row r="63" spans="1:13" x14ac:dyDescent="0.2">
      <c r="A63" s="14">
        <f>IF(F63&lt;&gt;"",1+MAX($A$6:A62),"")</f>
        <v>37</v>
      </c>
      <c r="B63" s="7" t="s">
        <v>47</v>
      </c>
      <c r="C63" s="28" t="s">
        <v>48</v>
      </c>
      <c r="D63" s="28"/>
      <c r="E63" s="94" t="s">
        <v>54</v>
      </c>
      <c r="F63" s="5">
        <f>14*4*1.043*1.2*8</f>
        <v>560.71679999999992</v>
      </c>
      <c r="G63" s="16">
        <v>7.0000000000000007E-2</v>
      </c>
      <c r="H63" s="6">
        <f>F63*(1+G63)</f>
        <v>599.96697599999993</v>
      </c>
      <c r="I63" s="7" t="s">
        <v>17</v>
      </c>
      <c r="J63" s="36">
        <f>J$11</f>
        <v>0</v>
      </c>
      <c r="K63" s="36">
        <f>K$11</f>
        <v>0</v>
      </c>
      <c r="L63" s="36">
        <f>J63+K63</f>
        <v>0</v>
      </c>
      <c r="M63" s="121">
        <f>L63*H63</f>
        <v>0</v>
      </c>
    </row>
    <row r="64" spans="1:13" x14ac:dyDescent="0.2">
      <c r="A64" s="14">
        <f>IF(F64&lt;&gt;"",1+MAX($A$6:A63),"")</f>
        <v>38</v>
      </c>
      <c r="B64" s="7" t="s">
        <v>47</v>
      </c>
      <c r="C64" s="28" t="s">
        <v>48</v>
      </c>
      <c r="D64" s="28"/>
      <c r="E64" s="94" t="s">
        <v>107</v>
      </c>
      <c r="F64" s="5">
        <f>4*14.5*0.668*1.2*8</f>
        <v>371.94239999999996</v>
      </c>
      <c r="G64" s="16">
        <v>7.0000000000000007E-2</v>
      </c>
      <c r="H64" s="6">
        <f>F64*(1+G64)</f>
        <v>397.97836799999999</v>
      </c>
      <c r="I64" s="7" t="s">
        <v>17</v>
      </c>
      <c r="J64" s="36">
        <f>J$11</f>
        <v>0</v>
      </c>
      <c r="K64" s="36">
        <f>K$11</f>
        <v>0</v>
      </c>
      <c r="L64" s="36">
        <f>J64+K64</f>
        <v>0</v>
      </c>
      <c r="M64" s="121">
        <f>L64*H64</f>
        <v>0</v>
      </c>
    </row>
    <row r="65" spans="1:14" x14ac:dyDescent="0.2">
      <c r="A65" s="14">
        <f>IF(F65&lt;&gt;"",1+MAX($A$6:A64),"")</f>
        <v>39</v>
      </c>
      <c r="B65" s="7" t="s">
        <v>47</v>
      </c>
      <c r="C65" s="28" t="s">
        <v>48</v>
      </c>
      <c r="D65" s="28"/>
      <c r="E65" s="94" t="s">
        <v>111</v>
      </c>
      <c r="F65" s="5">
        <f>4*3.5*1.67*8</f>
        <v>187.04</v>
      </c>
      <c r="G65" s="16">
        <v>7.0000000000000007E-2</v>
      </c>
      <c r="H65" s="6">
        <f>F65*(1+G65)</f>
        <v>200.1328</v>
      </c>
      <c r="I65" s="7" t="s">
        <v>18</v>
      </c>
      <c r="J65" s="36">
        <f>J$59</f>
        <v>0</v>
      </c>
      <c r="K65" s="36">
        <f>K$59</f>
        <v>0</v>
      </c>
      <c r="L65" s="36">
        <f>J65+K65</f>
        <v>0</v>
      </c>
      <c r="M65" s="121">
        <f>L65*H65</f>
        <v>0</v>
      </c>
    </row>
    <row r="66" spans="1:14" x14ac:dyDescent="0.2">
      <c r="A66" s="14" t="str">
        <f>IF(F66&lt;&gt;"",1+MAX($A$6:A65),"")</f>
        <v/>
      </c>
      <c r="B66" s="7"/>
      <c r="C66" s="28"/>
      <c r="D66" s="28"/>
      <c r="E66" s="27"/>
      <c r="F66" s="5"/>
      <c r="G66" s="16"/>
      <c r="H66" s="6"/>
      <c r="I66" s="7"/>
      <c r="J66" s="36"/>
      <c r="K66" s="36"/>
      <c r="L66" s="97"/>
      <c r="M66" s="121"/>
    </row>
    <row r="67" spans="1:14" ht="93" customHeight="1" x14ac:dyDescent="0.2">
      <c r="A67" s="14" t="str">
        <f>IF(F67&lt;&gt;"",1+MAX($A$6:A66),"")</f>
        <v/>
      </c>
      <c r="B67" s="7"/>
      <c r="C67" s="28"/>
      <c r="D67" s="28"/>
      <c r="E67" s="92" t="s">
        <v>114</v>
      </c>
      <c r="F67" s="5"/>
      <c r="G67" s="16"/>
      <c r="H67" s="6"/>
      <c r="I67" s="7"/>
      <c r="J67" s="17"/>
      <c r="K67" s="17"/>
      <c r="L67" s="93"/>
      <c r="M67" s="120"/>
    </row>
    <row r="68" spans="1:14" x14ac:dyDescent="0.2">
      <c r="A68" s="14">
        <f>IF(F68&lt;&gt;"",1+MAX($A$6:A67),"")</f>
        <v>40</v>
      </c>
      <c r="B68" s="7" t="s">
        <v>47</v>
      </c>
      <c r="C68" s="28" t="s">
        <v>48</v>
      </c>
      <c r="D68" s="28"/>
      <c r="E68" s="94" t="s">
        <v>104</v>
      </c>
      <c r="F68" s="5">
        <f>3.42*2.3*3/27</f>
        <v>0.874</v>
      </c>
      <c r="G68" s="89">
        <v>7.0000000000000007E-2</v>
      </c>
      <c r="H68" s="6">
        <f>F68*(1+G68)</f>
        <v>0.93518000000000001</v>
      </c>
      <c r="I68" s="7" t="s">
        <v>16</v>
      </c>
      <c r="J68" s="36">
        <f>J$10</f>
        <v>0</v>
      </c>
      <c r="K68" s="36">
        <f>K$10</f>
        <v>0</v>
      </c>
      <c r="L68" s="36">
        <f>J68+K68</f>
        <v>0</v>
      </c>
      <c r="M68" s="121">
        <f>L68*H68</f>
        <v>0</v>
      </c>
    </row>
    <row r="69" spans="1:14" x14ac:dyDescent="0.2">
      <c r="A69" s="14">
        <f>IF(F69&lt;&gt;"",1+MAX($A$6:A68),"")</f>
        <v>41</v>
      </c>
      <c r="B69" s="7" t="s">
        <v>47</v>
      </c>
      <c r="C69" s="28" t="s">
        <v>48</v>
      </c>
      <c r="D69" s="28"/>
      <c r="E69" s="94" t="s">
        <v>55</v>
      </c>
      <c r="F69" s="5">
        <f>3*4.5*0.376*1.2</f>
        <v>6.0911999999999997</v>
      </c>
      <c r="G69" s="16">
        <v>7.0000000000000007E-2</v>
      </c>
      <c r="H69" s="6">
        <f>F69*(1+G69)</f>
        <v>6.5175840000000003</v>
      </c>
      <c r="I69" s="7" t="s">
        <v>17</v>
      </c>
      <c r="J69" s="36">
        <f>J$11</f>
        <v>0</v>
      </c>
      <c r="K69" s="36">
        <f>K$11</f>
        <v>0</v>
      </c>
      <c r="L69" s="36">
        <f>J69+K69</f>
        <v>0</v>
      </c>
      <c r="M69" s="121">
        <f>L69*H69</f>
        <v>0</v>
      </c>
    </row>
    <row r="70" spans="1:14" x14ac:dyDescent="0.2">
      <c r="A70" s="14">
        <f>IF(F70&lt;&gt;"",1+MAX($A$6:A69),"")</f>
        <v>42</v>
      </c>
      <c r="B70" s="7" t="s">
        <v>47</v>
      </c>
      <c r="C70" s="28" t="s">
        <v>48</v>
      </c>
      <c r="D70" s="28"/>
      <c r="E70" s="94" t="s">
        <v>108</v>
      </c>
      <c r="F70" s="5">
        <f>4*10.5*0.376*1.2</f>
        <v>18.950399999999998</v>
      </c>
      <c r="G70" s="16">
        <v>7.0000000000000007E-2</v>
      </c>
      <c r="H70" s="6">
        <f>F70*(1+G70)</f>
        <v>20.276927999999998</v>
      </c>
      <c r="I70" s="7" t="s">
        <v>17</v>
      </c>
      <c r="J70" s="36">
        <f>J$11</f>
        <v>0</v>
      </c>
      <c r="K70" s="36">
        <f>K$11</f>
        <v>0</v>
      </c>
      <c r="L70" s="36">
        <f>J70+K70</f>
        <v>0</v>
      </c>
      <c r="M70" s="121">
        <f>L70*H70</f>
        <v>0</v>
      </c>
    </row>
    <row r="71" spans="1:14" x14ac:dyDescent="0.2">
      <c r="A71" s="14">
        <f>IF(F71&lt;&gt;"",1+MAX($A$6:A70),"")</f>
        <v>43</v>
      </c>
      <c r="B71" s="7" t="s">
        <v>47</v>
      </c>
      <c r="C71" s="28" t="s">
        <v>48</v>
      </c>
      <c r="D71" s="28"/>
      <c r="E71" s="94" t="s">
        <v>111</v>
      </c>
      <c r="F71" s="5">
        <f>2*(3.42+2.3)*3</f>
        <v>34.32</v>
      </c>
      <c r="G71" s="16">
        <v>7.0000000000000007E-2</v>
      </c>
      <c r="H71" s="6">
        <f>F71*(1+G71)</f>
        <v>36.7224</v>
      </c>
      <c r="I71" s="7" t="s">
        <v>18</v>
      </c>
      <c r="J71" s="36">
        <f>J$59</f>
        <v>0</v>
      </c>
      <c r="K71" s="36">
        <f>K$59</f>
        <v>0</v>
      </c>
      <c r="L71" s="36">
        <f>J71+K71</f>
        <v>0</v>
      </c>
      <c r="M71" s="121">
        <f>L71*H71</f>
        <v>0</v>
      </c>
    </row>
    <row r="72" spans="1:14" x14ac:dyDescent="0.2">
      <c r="A72" s="14" t="str">
        <f>IF(F72&lt;&gt;"",1+MAX($A$6:A71),"")</f>
        <v/>
      </c>
      <c r="B72" s="7"/>
      <c r="C72" s="28"/>
      <c r="D72" s="28"/>
      <c r="E72" s="27"/>
      <c r="F72" s="5"/>
      <c r="G72" s="16"/>
      <c r="H72" s="6"/>
      <c r="I72" s="7"/>
      <c r="J72" s="36"/>
      <c r="K72" s="36"/>
      <c r="L72" s="97"/>
      <c r="M72" s="121"/>
    </row>
    <row r="73" spans="1:14" ht="95.25" customHeight="1" x14ac:dyDescent="0.2">
      <c r="A73" s="14" t="str">
        <f>IF(F73&lt;&gt;"",1+MAX($A$6:A72),"")</f>
        <v/>
      </c>
      <c r="B73" s="7"/>
      <c r="C73" s="28"/>
      <c r="D73" s="28"/>
      <c r="E73" s="92" t="s">
        <v>102</v>
      </c>
      <c r="F73" s="5"/>
      <c r="G73" s="16"/>
      <c r="H73" s="6"/>
      <c r="I73" s="7"/>
      <c r="J73" s="17"/>
      <c r="K73" s="17"/>
      <c r="L73" s="93"/>
      <c r="M73" s="120"/>
    </row>
    <row r="74" spans="1:14" ht="24" customHeight="1" x14ac:dyDescent="0.2">
      <c r="A74" s="14">
        <f>IF(F74&lt;&gt;"",1+MAX($A$6:A73),"")</f>
        <v>44</v>
      </c>
      <c r="B74" s="7" t="s">
        <v>47</v>
      </c>
      <c r="C74" s="28" t="s">
        <v>48</v>
      </c>
      <c r="D74" s="28"/>
      <c r="E74" s="94" t="s">
        <v>104</v>
      </c>
      <c r="F74" s="5">
        <f>3.42*3*3/27</f>
        <v>1.1400000000000001</v>
      </c>
      <c r="G74" s="89">
        <v>7.0000000000000007E-2</v>
      </c>
      <c r="H74" s="6">
        <f>F74*(1+G74)</f>
        <v>1.2198000000000002</v>
      </c>
      <c r="I74" s="7" t="s">
        <v>16</v>
      </c>
      <c r="J74" s="36">
        <f>J$10</f>
        <v>0</v>
      </c>
      <c r="K74" s="36">
        <f>K$10</f>
        <v>0</v>
      </c>
      <c r="L74" s="36">
        <f>J74+K74</f>
        <v>0</v>
      </c>
      <c r="M74" s="121">
        <f>L74*H74</f>
        <v>0</v>
      </c>
    </row>
    <row r="75" spans="1:14" ht="24" customHeight="1" x14ac:dyDescent="0.2">
      <c r="A75" s="14">
        <f>IF(F75&lt;&gt;"",1+MAX($A$6:A74),"")</f>
        <v>45</v>
      </c>
      <c r="B75" s="7" t="s">
        <v>47</v>
      </c>
      <c r="C75" s="28" t="s">
        <v>48</v>
      </c>
      <c r="D75" s="28"/>
      <c r="E75" s="94" t="s">
        <v>109</v>
      </c>
      <c r="F75" s="5">
        <f>1.043*1.2*2*2*3.42*3*1.13</f>
        <v>58.04320031999999</v>
      </c>
      <c r="G75" s="16">
        <v>7.0000000000000007E-2</v>
      </c>
      <c r="H75" s="6">
        <f>F75*(1+G75)</f>
        <v>62.10622434239999</v>
      </c>
      <c r="I75" s="7" t="s">
        <v>17</v>
      </c>
      <c r="J75" s="36">
        <f>J$11</f>
        <v>0</v>
      </c>
      <c r="K75" s="36">
        <f>K$11</f>
        <v>0</v>
      </c>
      <c r="L75" s="36">
        <f>J75+K75</f>
        <v>0</v>
      </c>
      <c r="M75" s="121">
        <f>L75*H75</f>
        <v>0</v>
      </c>
    </row>
    <row r="76" spans="1:14" ht="24" customHeight="1" x14ac:dyDescent="0.2">
      <c r="A76" s="14">
        <f>IF(F76&lt;&gt;"",1+MAX($A$6:A75),"")</f>
        <v>46</v>
      </c>
      <c r="B76" s="7" t="s">
        <v>47</v>
      </c>
      <c r="C76" s="28" t="s">
        <v>48</v>
      </c>
      <c r="D76" s="28"/>
      <c r="E76" s="94" t="s">
        <v>111</v>
      </c>
      <c r="F76" s="5">
        <f>2*(3.42+3)*3</f>
        <v>38.519999999999996</v>
      </c>
      <c r="G76" s="16">
        <v>7.0000000000000007E-2</v>
      </c>
      <c r="H76" s="6">
        <f>F76*(1+G76)</f>
        <v>41.2164</v>
      </c>
      <c r="I76" s="7" t="s">
        <v>18</v>
      </c>
      <c r="J76" s="36">
        <f>J$59</f>
        <v>0</v>
      </c>
      <c r="K76" s="36">
        <f>K$59</f>
        <v>0</v>
      </c>
      <c r="L76" s="36">
        <f>J76+K76</f>
        <v>0</v>
      </c>
      <c r="M76" s="121">
        <f>L76*H76</f>
        <v>0</v>
      </c>
    </row>
    <row r="77" spans="1:14" ht="24" customHeight="1" x14ac:dyDescent="0.2">
      <c r="A77" s="14" t="str">
        <f>IF(F77&lt;&gt;"",1+MAX($A$6:A76),"")</f>
        <v/>
      </c>
      <c r="B77" s="7"/>
      <c r="C77" s="28"/>
      <c r="D77" s="28"/>
      <c r="E77" s="27"/>
      <c r="F77" s="5"/>
      <c r="G77" s="16"/>
      <c r="H77" s="6"/>
      <c r="I77" s="7"/>
      <c r="J77" s="36"/>
      <c r="K77" s="36"/>
      <c r="L77" s="97"/>
      <c r="M77" s="121"/>
    </row>
    <row r="78" spans="1:14" ht="24" customHeight="1" x14ac:dyDescent="0.2">
      <c r="A78" s="14" t="str">
        <f>IF(F78&lt;&gt;"",1+MAX($A$6:A77),"")</f>
        <v/>
      </c>
      <c r="B78" s="7"/>
      <c r="C78" s="28"/>
      <c r="D78" s="28"/>
      <c r="E78" s="92" t="s">
        <v>56</v>
      </c>
      <c r="F78" s="5"/>
      <c r="G78" s="16"/>
      <c r="H78" s="6"/>
      <c r="I78" s="7"/>
      <c r="J78" s="17"/>
      <c r="K78" s="17"/>
      <c r="L78" s="93"/>
      <c r="M78" s="120"/>
    </row>
    <row r="79" spans="1:14" ht="24" customHeight="1" x14ac:dyDescent="0.2">
      <c r="A79" s="14" t="str">
        <f>IF(F79&lt;&gt;"",1+MAX($A$6:A78),"")</f>
        <v/>
      </c>
      <c r="B79" s="7"/>
      <c r="C79" s="28"/>
      <c r="D79" s="28"/>
      <c r="E79" s="92" t="s">
        <v>103</v>
      </c>
      <c r="F79" s="5"/>
      <c r="G79" s="16"/>
      <c r="H79" s="6"/>
      <c r="I79" s="7"/>
      <c r="J79" s="17"/>
      <c r="K79" s="17"/>
      <c r="L79" s="93"/>
      <c r="M79" s="120"/>
    </row>
    <row r="80" spans="1:14" ht="48" customHeight="1" x14ac:dyDescent="0.2">
      <c r="A80" s="14">
        <f>IF(F80&lt;&gt;"",1+MAX($A$6:A79),"")</f>
        <v>47</v>
      </c>
      <c r="B80" s="7" t="s">
        <v>47</v>
      </c>
      <c r="C80" s="28" t="s">
        <v>48</v>
      </c>
      <c r="D80" s="90">
        <f>H80*0.334/27</f>
        <v>63.759239259259267</v>
      </c>
      <c r="E80" s="94" t="s">
        <v>115</v>
      </c>
      <c r="F80" s="5">
        <v>4817</v>
      </c>
      <c r="G80" s="89">
        <v>7.0000000000000007E-2</v>
      </c>
      <c r="H80" s="6">
        <f t="shared" ref="H80:H86" si="0">F80*(1+G80)</f>
        <v>5154.1900000000005</v>
      </c>
      <c r="I80" s="7" t="s">
        <v>43</v>
      </c>
      <c r="J80" s="36">
        <v>0</v>
      </c>
      <c r="K80" s="36">
        <v>0</v>
      </c>
      <c r="L80" s="36">
        <f t="shared" ref="L80:L86" si="1">J80+K80</f>
        <v>0</v>
      </c>
      <c r="M80" s="121">
        <f t="shared" ref="M80:M86" si="2">L80*H80</f>
        <v>0</v>
      </c>
      <c r="N80" s="88"/>
    </row>
    <row r="81" spans="1:14" ht="24" customHeight="1" x14ac:dyDescent="0.2">
      <c r="A81" s="14">
        <f>IF(F81&lt;&gt;"",1+MAX($A$6:A80),"")</f>
        <v>48</v>
      </c>
      <c r="B81" s="7" t="s">
        <v>47</v>
      </c>
      <c r="C81" s="28" t="s">
        <v>48</v>
      </c>
      <c r="D81" s="28"/>
      <c r="E81" s="94" t="s">
        <v>116</v>
      </c>
      <c r="F81" s="5">
        <v>306</v>
      </c>
      <c r="G81" s="89">
        <v>7.0000000000000007E-2</v>
      </c>
      <c r="H81" s="6">
        <f t="shared" si="0"/>
        <v>327.42</v>
      </c>
      <c r="I81" s="7" t="s">
        <v>44</v>
      </c>
      <c r="J81" s="36">
        <v>0</v>
      </c>
      <c r="K81" s="36">
        <v>0</v>
      </c>
      <c r="L81" s="36">
        <f t="shared" si="1"/>
        <v>0</v>
      </c>
      <c r="M81" s="121">
        <f t="shared" si="2"/>
        <v>0</v>
      </c>
    </row>
    <row r="82" spans="1:14" ht="24" customHeight="1" x14ac:dyDescent="0.2">
      <c r="A82" s="14">
        <f>IF(F82&lt;&gt;"",1+MAX($A$6:A81),"")</f>
        <v>49</v>
      </c>
      <c r="B82" s="7" t="s">
        <v>47</v>
      </c>
      <c r="C82" s="28" t="s">
        <v>48</v>
      </c>
      <c r="D82" s="28"/>
      <c r="E82" s="94" t="s">
        <v>117</v>
      </c>
      <c r="F82" s="5">
        <f>F80</f>
        <v>4817</v>
      </c>
      <c r="G82" s="16">
        <v>7.0000000000000007E-2</v>
      </c>
      <c r="H82" s="6">
        <f t="shared" si="0"/>
        <v>5154.1900000000005</v>
      </c>
      <c r="I82" s="7" t="s">
        <v>43</v>
      </c>
      <c r="J82" s="36">
        <v>0</v>
      </c>
      <c r="K82" s="36">
        <v>0</v>
      </c>
      <c r="L82" s="36">
        <f t="shared" si="1"/>
        <v>0</v>
      </c>
      <c r="M82" s="121">
        <f t="shared" si="2"/>
        <v>0</v>
      </c>
    </row>
    <row r="83" spans="1:14" ht="24" customHeight="1" x14ac:dyDescent="0.2">
      <c r="A83" s="14">
        <f>IF(F83&lt;&gt;"",1+MAX($A$6:A82),"")</f>
        <v>50</v>
      </c>
      <c r="B83" s="7" t="s">
        <v>47</v>
      </c>
      <c r="C83" s="28" t="s">
        <v>71</v>
      </c>
      <c r="D83" s="28"/>
      <c r="E83" s="94" t="s">
        <v>118</v>
      </c>
      <c r="F83" s="5">
        <f>F82*0.33/27</f>
        <v>58.87444444444445</v>
      </c>
      <c r="G83" s="16">
        <v>7.0000000000000007E-2</v>
      </c>
      <c r="H83" s="6">
        <f t="shared" si="0"/>
        <v>62.995655555555565</v>
      </c>
      <c r="I83" s="7" t="s">
        <v>16</v>
      </c>
      <c r="J83" s="36">
        <v>0</v>
      </c>
      <c r="K83" s="36">
        <v>0</v>
      </c>
      <c r="L83" s="36">
        <f t="shared" si="1"/>
        <v>0</v>
      </c>
      <c r="M83" s="121">
        <f t="shared" si="2"/>
        <v>0</v>
      </c>
    </row>
    <row r="84" spans="1:14" ht="20.25" customHeight="1" x14ac:dyDescent="0.2">
      <c r="A84" s="14">
        <f>IF(F84&lt;&gt;"",1+MAX($A$6:A83),"")</f>
        <v>51</v>
      </c>
      <c r="B84" s="7" t="s">
        <v>47</v>
      </c>
      <c r="C84" s="28" t="s">
        <v>48</v>
      </c>
      <c r="D84" s="28"/>
      <c r="E84" s="94" t="s">
        <v>119</v>
      </c>
      <c r="F84" s="5">
        <f>F82</f>
        <v>4817</v>
      </c>
      <c r="G84" s="16">
        <v>7.0000000000000007E-2</v>
      </c>
      <c r="H84" s="6">
        <f t="shared" si="0"/>
        <v>5154.1900000000005</v>
      </c>
      <c r="I84" s="7" t="s">
        <v>43</v>
      </c>
      <c r="J84" s="36">
        <v>0</v>
      </c>
      <c r="K84" s="36">
        <v>0</v>
      </c>
      <c r="L84" s="36">
        <f t="shared" si="1"/>
        <v>0</v>
      </c>
      <c r="M84" s="121">
        <f t="shared" si="2"/>
        <v>0</v>
      </c>
    </row>
    <row r="85" spans="1:14" ht="20.25" customHeight="1" x14ac:dyDescent="0.2">
      <c r="A85" s="14">
        <f>IF(F85&lt;&gt;"",1+MAX($A$6:A84),"")</f>
        <v>52</v>
      </c>
      <c r="B85" s="7" t="s">
        <v>47</v>
      </c>
      <c r="C85" s="28" t="s">
        <v>48</v>
      </c>
      <c r="D85" s="28"/>
      <c r="E85" s="94" t="s">
        <v>120</v>
      </c>
      <c r="F85" s="5">
        <f>0.16*F82</f>
        <v>770.72</v>
      </c>
      <c r="G85" s="16">
        <v>7.0000000000000007E-2</v>
      </c>
      <c r="H85" s="6">
        <f t="shared" si="0"/>
        <v>824.67040000000009</v>
      </c>
      <c r="I85" s="7" t="s">
        <v>44</v>
      </c>
      <c r="J85" s="36">
        <v>0</v>
      </c>
      <c r="K85" s="36">
        <v>0</v>
      </c>
      <c r="L85" s="36">
        <f t="shared" si="1"/>
        <v>0</v>
      </c>
      <c r="M85" s="121">
        <f t="shared" si="2"/>
        <v>0</v>
      </c>
    </row>
    <row r="86" spans="1:14" ht="20.25" customHeight="1" x14ac:dyDescent="0.2">
      <c r="A86" s="14">
        <f>IF(F86&lt;&gt;"",1+MAX($A$6:A85),"")</f>
        <v>53</v>
      </c>
      <c r="B86" s="7" t="s">
        <v>47</v>
      </c>
      <c r="C86" s="28" t="s">
        <v>48</v>
      </c>
      <c r="D86" s="28"/>
      <c r="E86" s="94" t="s">
        <v>121</v>
      </c>
      <c r="F86" s="5">
        <f>F81</f>
        <v>306</v>
      </c>
      <c r="G86" s="16">
        <v>7.0000000000000007E-2</v>
      </c>
      <c r="H86" s="6">
        <f t="shared" si="0"/>
        <v>327.42</v>
      </c>
      <c r="I86" s="7" t="s">
        <v>44</v>
      </c>
      <c r="J86" s="36">
        <v>0</v>
      </c>
      <c r="K86" s="36">
        <v>0</v>
      </c>
      <c r="L86" s="36">
        <f t="shared" si="1"/>
        <v>0</v>
      </c>
      <c r="M86" s="121">
        <f t="shared" si="2"/>
        <v>0</v>
      </c>
    </row>
    <row r="87" spans="1:14" ht="20.25" customHeight="1" x14ac:dyDescent="0.2">
      <c r="A87" s="14" t="str">
        <f>IF(F87&lt;&gt;"",1+MAX($A$6:A86),"")</f>
        <v/>
      </c>
      <c r="B87" s="7"/>
      <c r="C87" s="28"/>
      <c r="D87" s="28"/>
      <c r="E87" s="92" t="s">
        <v>57</v>
      </c>
      <c r="F87" s="5"/>
      <c r="G87" s="16"/>
      <c r="H87" s="6"/>
      <c r="I87" s="7"/>
      <c r="J87" s="17"/>
      <c r="K87" s="17"/>
      <c r="L87" s="93"/>
      <c r="M87" s="120"/>
    </row>
    <row r="88" spans="1:14" ht="31.5" x14ac:dyDescent="0.2">
      <c r="A88" s="14">
        <f>IF(F88&lt;&gt;"",1+MAX($A$6:A87),"")</f>
        <v>54</v>
      </c>
      <c r="B88" s="7" t="s">
        <v>47</v>
      </c>
      <c r="C88" s="28" t="s">
        <v>48</v>
      </c>
      <c r="D88" s="90">
        <f>H88*0.5/27</f>
        <v>14.56388888888889</v>
      </c>
      <c r="E88" s="94" t="s">
        <v>122</v>
      </c>
      <c r="F88" s="5">
        <v>735</v>
      </c>
      <c r="G88" s="89">
        <v>7.0000000000000007E-2</v>
      </c>
      <c r="H88" s="6">
        <f t="shared" ref="H88:H99" si="3">F88*(1+G88)</f>
        <v>786.45</v>
      </c>
      <c r="I88" s="7" t="s">
        <v>43</v>
      </c>
      <c r="J88" s="36">
        <v>0</v>
      </c>
      <c r="K88" s="36">
        <v>0</v>
      </c>
      <c r="L88" s="36">
        <f t="shared" ref="L88:L99" si="4">J88+K88</f>
        <v>0</v>
      </c>
      <c r="M88" s="121">
        <f t="shared" ref="M88:M99" si="5">L88*H88</f>
        <v>0</v>
      </c>
      <c r="N88" s="88"/>
    </row>
    <row r="89" spans="1:14" ht="20.25" customHeight="1" x14ac:dyDescent="0.2">
      <c r="A89" s="14">
        <f>IF(F89&lt;&gt;"",1+MAX($A$6:A88),"")</f>
        <v>55</v>
      </c>
      <c r="B89" s="7" t="s">
        <v>47</v>
      </c>
      <c r="C89" s="28" t="s">
        <v>48</v>
      </c>
      <c r="D89" s="28"/>
      <c r="E89" s="94" t="s">
        <v>58</v>
      </c>
      <c r="F89" s="5">
        <v>158</v>
      </c>
      <c r="G89" s="89">
        <v>7.0000000000000007E-2</v>
      </c>
      <c r="H89" s="6">
        <f t="shared" si="3"/>
        <v>169.06</v>
      </c>
      <c r="I89" s="7" t="s">
        <v>44</v>
      </c>
      <c r="J89" s="36">
        <v>0</v>
      </c>
      <c r="K89" s="36">
        <v>0</v>
      </c>
      <c r="L89" s="36">
        <f t="shared" si="4"/>
        <v>0</v>
      </c>
      <c r="M89" s="121">
        <f t="shared" si="5"/>
        <v>0</v>
      </c>
    </row>
    <row r="90" spans="1:14" ht="20.25" customHeight="1" x14ac:dyDescent="0.2">
      <c r="A90" s="14">
        <f>IF(F90&lt;&gt;"",1+MAX($A$6:A89),"")</f>
        <v>56</v>
      </c>
      <c r="B90" s="7" t="s">
        <v>47</v>
      </c>
      <c r="C90" s="28" t="s">
        <v>48</v>
      </c>
      <c r="D90" s="28"/>
      <c r="E90" s="94" t="s">
        <v>117</v>
      </c>
      <c r="F90" s="5">
        <f>F88</f>
        <v>735</v>
      </c>
      <c r="G90" s="16">
        <v>7.0000000000000007E-2</v>
      </c>
      <c r="H90" s="6">
        <f t="shared" si="3"/>
        <v>786.45</v>
      </c>
      <c r="I90" s="7" t="s">
        <v>43</v>
      </c>
      <c r="J90" s="36">
        <f>J$82</f>
        <v>0</v>
      </c>
      <c r="K90" s="36">
        <f>K$82</f>
        <v>0</v>
      </c>
      <c r="L90" s="36">
        <f t="shared" si="4"/>
        <v>0</v>
      </c>
      <c r="M90" s="121">
        <f t="shared" si="5"/>
        <v>0</v>
      </c>
    </row>
    <row r="91" spans="1:14" ht="20.25" customHeight="1" x14ac:dyDescent="0.2">
      <c r="A91" s="14">
        <f>IF(F91&lt;&gt;"",1+MAX($A$6:A90),"")</f>
        <v>57</v>
      </c>
      <c r="B91" s="7" t="s">
        <v>47</v>
      </c>
      <c r="C91" s="28" t="s">
        <v>71</v>
      </c>
      <c r="D91" s="28"/>
      <c r="E91" s="94" t="s">
        <v>118</v>
      </c>
      <c r="F91" s="5">
        <f>F90*0.33/27</f>
        <v>8.9833333333333343</v>
      </c>
      <c r="G91" s="16">
        <v>7.0000000000000007E-2</v>
      </c>
      <c r="H91" s="6">
        <f t="shared" si="3"/>
        <v>9.6121666666666687</v>
      </c>
      <c r="I91" s="7" t="s">
        <v>16</v>
      </c>
      <c r="J91" s="36">
        <f>J$83</f>
        <v>0</v>
      </c>
      <c r="K91" s="36">
        <f>K$83</f>
        <v>0</v>
      </c>
      <c r="L91" s="36">
        <f t="shared" si="4"/>
        <v>0</v>
      </c>
      <c r="M91" s="121">
        <f t="shared" si="5"/>
        <v>0</v>
      </c>
    </row>
    <row r="92" spans="1:14" ht="20.25" customHeight="1" x14ac:dyDescent="0.2">
      <c r="A92" s="14">
        <f>IF(F92&lt;&gt;"",1+MAX($A$6:A91),"")</f>
        <v>58</v>
      </c>
      <c r="B92" s="7" t="s">
        <v>47</v>
      </c>
      <c r="C92" s="28" t="s">
        <v>48</v>
      </c>
      <c r="D92" s="28"/>
      <c r="E92" s="94" t="s">
        <v>119</v>
      </c>
      <c r="F92" s="5">
        <f>F90</f>
        <v>735</v>
      </c>
      <c r="G92" s="16">
        <v>7.0000000000000007E-2</v>
      </c>
      <c r="H92" s="6">
        <f t="shared" si="3"/>
        <v>786.45</v>
      </c>
      <c r="I92" s="7" t="s">
        <v>43</v>
      </c>
      <c r="J92" s="36">
        <f>J$84</f>
        <v>0</v>
      </c>
      <c r="K92" s="36">
        <f>K$84</f>
        <v>0</v>
      </c>
      <c r="L92" s="36">
        <f t="shared" si="4"/>
        <v>0</v>
      </c>
      <c r="M92" s="121">
        <f t="shared" si="5"/>
        <v>0</v>
      </c>
    </row>
    <row r="93" spans="1:14" ht="20.25" customHeight="1" x14ac:dyDescent="0.2">
      <c r="A93" s="14">
        <f>IF(F93&lt;&gt;"",1+MAX($A$6:A92),"")</f>
        <v>59</v>
      </c>
      <c r="B93" s="7" t="s">
        <v>47</v>
      </c>
      <c r="C93" s="28" t="s">
        <v>48</v>
      </c>
      <c r="D93" s="28"/>
      <c r="E93" s="94" t="s">
        <v>120</v>
      </c>
      <c r="F93" s="5">
        <f>0.16*F90</f>
        <v>117.60000000000001</v>
      </c>
      <c r="G93" s="16">
        <v>7.0000000000000007E-2</v>
      </c>
      <c r="H93" s="6">
        <f t="shared" si="3"/>
        <v>125.83200000000002</v>
      </c>
      <c r="I93" s="7" t="s">
        <v>44</v>
      </c>
      <c r="J93" s="36">
        <f>J$85</f>
        <v>0</v>
      </c>
      <c r="K93" s="36">
        <f>K$85</f>
        <v>0</v>
      </c>
      <c r="L93" s="36">
        <f t="shared" si="4"/>
        <v>0</v>
      </c>
      <c r="M93" s="121">
        <f t="shared" si="5"/>
        <v>0</v>
      </c>
    </row>
    <row r="94" spans="1:14" ht="20.25" customHeight="1" x14ac:dyDescent="0.2">
      <c r="A94" s="14">
        <f>IF(F94&lt;&gt;"",1+MAX($A$6:A93),"")</f>
        <v>60</v>
      </c>
      <c r="B94" s="7" t="s">
        <v>47</v>
      </c>
      <c r="C94" s="28" t="s">
        <v>48</v>
      </c>
      <c r="D94" s="28"/>
      <c r="E94" s="94" t="s">
        <v>121</v>
      </c>
      <c r="F94" s="5">
        <f>F89</f>
        <v>158</v>
      </c>
      <c r="G94" s="16">
        <v>7.0000000000000007E-2</v>
      </c>
      <c r="H94" s="6">
        <f t="shared" si="3"/>
        <v>169.06</v>
      </c>
      <c r="I94" s="7" t="s">
        <v>44</v>
      </c>
      <c r="J94" s="36">
        <f>J$86</f>
        <v>0</v>
      </c>
      <c r="K94" s="36">
        <f>K$86</f>
        <v>0</v>
      </c>
      <c r="L94" s="36">
        <f t="shared" si="4"/>
        <v>0</v>
      </c>
      <c r="M94" s="121">
        <f t="shared" si="5"/>
        <v>0</v>
      </c>
    </row>
    <row r="95" spans="1:14" ht="20.25" customHeight="1" x14ac:dyDescent="0.2">
      <c r="A95" s="14" t="str">
        <f>IF(F95&lt;&gt;"",1+MAX($A$6:A94),"")</f>
        <v/>
      </c>
      <c r="B95" s="7"/>
      <c r="C95" s="28"/>
      <c r="D95" s="28"/>
      <c r="E95" s="96" t="s">
        <v>123</v>
      </c>
      <c r="F95" s="5"/>
      <c r="G95" s="16"/>
      <c r="H95" s="6"/>
      <c r="I95" s="7"/>
      <c r="J95" s="36"/>
      <c r="K95" s="36"/>
      <c r="L95" s="36"/>
      <c r="M95" s="121"/>
    </row>
    <row r="96" spans="1:14" ht="20.25" customHeight="1" x14ac:dyDescent="0.2">
      <c r="A96" s="14">
        <f>IF(F96&lt;&gt;"",1+MAX($A$6:A95),"")</f>
        <v>61</v>
      </c>
      <c r="B96" s="7" t="s">
        <v>47</v>
      </c>
      <c r="C96" s="28" t="s">
        <v>59</v>
      </c>
      <c r="D96" s="28"/>
      <c r="E96" s="94" t="s">
        <v>104</v>
      </c>
      <c r="F96" s="5">
        <f>183*0.67*0.33/27</f>
        <v>1.498566666666667</v>
      </c>
      <c r="G96" s="16">
        <v>7.0000000000000007E-2</v>
      </c>
      <c r="H96" s="6">
        <f t="shared" si="3"/>
        <v>1.6034663333333339</v>
      </c>
      <c r="I96" s="7" t="s">
        <v>16</v>
      </c>
      <c r="J96" s="36">
        <f>J$10</f>
        <v>0</v>
      </c>
      <c r="K96" s="36">
        <f>K$10</f>
        <v>0</v>
      </c>
      <c r="L96" s="36">
        <f t="shared" si="4"/>
        <v>0</v>
      </c>
      <c r="M96" s="121">
        <f t="shared" si="5"/>
        <v>0</v>
      </c>
    </row>
    <row r="97" spans="1:107" ht="20.25" customHeight="1" x14ac:dyDescent="0.2">
      <c r="A97" s="14">
        <f>IF(F97&lt;&gt;"",1+MAX($A$6:A96),"")</f>
        <v>62</v>
      </c>
      <c r="B97" s="7" t="s">
        <v>47</v>
      </c>
      <c r="C97" s="28" t="s">
        <v>59</v>
      </c>
      <c r="D97" s="28"/>
      <c r="E97" s="94" t="s">
        <v>40</v>
      </c>
      <c r="F97" s="5">
        <v>34</v>
      </c>
      <c r="G97" s="16">
        <v>7.0000000000000007E-2</v>
      </c>
      <c r="H97" s="6">
        <f t="shared" si="3"/>
        <v>36.380000000000003</v>
      </c>
      <c r="I97" s="7" t="s">
        <v>44</v>
      </c>
      <c r="J97" s="36">
        <f>J$81</f>
        <v>0</v>
      </c>
      <c r="K97" s="36">
        <f>K$81</f>
        <v>0</v>
      </c>
      <c r="L97" s="36">
        <f t="shared" si="4"/>
        <v>0</v>
      </c>
      <c r="M97" s="121">
        <f t="shared" si="5"/>
        <v>0</v>
      </c>
    </row>
    <row r="98" spans="1:107" ht="20.25" customHeight="1" x14ac:dyDescent="0.2">
      <c r="A98" s="14">
        <f>IF(F98&lt;&gt;"",1+MAX($A$6:A97),"")</f>
        <v>63</v>
      </c>
      <c r="B98" s="7" t="s">
        <v>47</v>
      </c>
      <c r="C98" s="28" t="s">
        <v>59</v>
      </c>
      <c r="D98" s="28"/>
      <c r="E98" s="94" t="s">
        <v>60</v>
      </c>
      <c r="F98" s="5">
        <f>34*1.043*1.2</f>
        <v>42.554399999999994</v>
      </c>
      <c r="G98" s="16">
        <v>7.0000000000000007E-2</v>
      </c>
      <c r="H98" s="6">
        <f t="shared" si="3"/>
        <v>45.533207999999995</v>
      </c>
      <c r="I98" s="7" t="s">
        <v>17</v>
      </c>
      <c r="J98" s="36">
        <f>J$11</f>
        <v>0</v>
      </c>
      <c r="K98" s="36">
        <f>K$11</f>
        <v>0</v>
      </c>
      <c r="L98" s="36">
        <f t="shared" si="4"/>
        <v>0</v>
      </c>
      <c r="M98" s="121">
        <f t="shared" si="5"/>
        <v>0</v>
      </c>
    </row>
    <row r="99" spans="1:107" ht="20.25" customHeight="1" x14ac:dyDescent="0.2">
      <c r="A99" s="14">
        <f>IF(F99&lt;&gt;"",1+MAX($A$6:A98),"")</f>
        <v>64</v>
      </c>
      <c r="B99" s="7" t="s">
        <v>47</v>
      </c>
      <c r="C99" s="28" t="s">
        <v>48</v>
      </c>
      <c r="D99" s="28"/>
      <c r="E99" s="94" t="s">
        <v>61</v>
      </c>
      <c r="F99" s="5">
        <f>2*4*0.668*1.2*10</f>
        <v>64.128</v>
      </c>
      <c r="G99" s="16">
        <v>7.0000000000000007E-2</v>
      </c>
      <c r="H99" s="6">
        <f t="shared" si="3"/>
        <v>68.616960000000006</v>
      </c>
      <c r="I99" s="7" t="s">
        <v>17</v>
      </c>
      <c r="J99" s="36">
        <f>J$11</f>
        <v>0</v>
      </c>
      <c r="K99" s="36">
        <f>K$11</f>
        <v>0</v>
      </c>
      <c r="L99" s="36">
        <f t="shared" si="4"/>
        <v>0</v>
      </c>
      <c r="M99" s="121">
        <f t="shared" si="5"/>
        <v>0</v>
      </c>
    </row>
    <row r="100" spans="1:107" ht="20.25" customHeight="1" x14ac:dyDescent="0.2">
      <c r="A100" s="14" t="str">
        <f>IF(F100&lt;&gt;"",1+MAX($A$6:A99),"")</f>
        <v/>
      </c>
      <c r="B100" s="7"/>
      <c r="C100" s="28"/>
      <c r="D100" s="28"/>
      <c r="E100" s="92" t="s">
        <v>62</v>
      </c>
      <c r="F100" s="5"/>
      <c r="G100" s="16"/>
      <c r="H100" s="6"/>
      <c r="I100" s="7"/>
      <c r="J100" s="17"/>
      <c r="K100" s="17"/>
      <c r="L100" s="93"/>
      <c r="M100" s="120"/>
    </row>
    <row r="101" spans="1:107" ht="20.25" customHeight="1" x14ac:dyDescent="0.2">
      <c r="A101" s="14">
        <f>IF(F101&lt;&gt;"",1+MAX($A$6:A100),"")</f>
        <v>65</v>
      </c>
      <c r="B101" s="7" t="s">
        <v>47</v>
      </c>
      <c r="C101" s="28" t="s">
        <v>64</v>
      </c>
      <c r="D101" s="28"/>
      <c r="E101" s="94" t="s">
        <v>104</v>
      </c>
      <c r="F101" s="5">
        <f>306*2*1.33/27</f>
        <v>30.146666666666668</v>
      </c>
      <c r="G101" s="89">
        <v>7.0000000000000007E-2</v>
      </c>
      <c r="H101" s="6">
        <f>F101*(1+G101)</f>
        <v>32.256933333333336</v>
      </c>
      <c r="I101" s="7" t="s">
        <v>16</v>
      </c>
      <c r="J101" s="36">
        <f>J$10</f>
        <v>0</v>
      </c>
      <c r="K101" s="36">
        <f>K$10</f>
        <v>0</v>
      </c>
      <c r="L101" s="36">
        <f>J101+K101</f>
        <v>0</v>
      </c>
      <c r="M101" s="121">
        <f>L101*H101</f>
        <v>0</v>
      </c>
      <c r="N101" s="88"/>
    </row>
    <row r="102" spans="1:107" ht="20.25" customHeight="1" x14ac:dyDescent="0.2">
      <c r="A102" s="14">
        <f>IF(F102&lt;&gt;"",1+MAX($A$6:A101),"")</f>
        <v>66</v>
      </c>
      <c r="B102" s="7" t="s">
        <v>47</v>
      </c>
      <c r="C102" s="28" t="s">
        <v>64</v>
      </c>
      <c r="D102" s="28"/>
      <c r="E102" s="94" t="s">
        <v>124</v>
      </c>
      <c r="F102" s="5">
        <f>306*1.33</f>
        <v>406.98</v>
      </c>
      <c r="G102" s="89">
        <v>7.0000000000000007E-2</v>
      </c>
      <c r="H102" s="6">
        <f>F102*(1+G102)</f>
        <v>435.46860000000004</v>
      </c>
      <c r="I102" s="7" t="s">
        <v>18</v>
      </c>
      <c r="J102" s="36">
        <f>J$12</f>
        <v>0</v>
      </c>
      <c r="K102" s="36">
        <f>K$12</f>
        <v>0</v>
      </c>
      <c r="L102" s="36">
        <f>J102+K102</f>
        <v>0</v>
      </c>
      <c r="M102" s="121">
        <f>L102*H102</f>
        <v>0</v>
      </c>
    </row>
    <row r="103" spans="1:107" ht="20.25" customHeight="1" x14ac:dyDescent="0.2">
      <c r="A103" s="14">
        <f>IF(F103&lt;&gt;"",1+MAX($A$6:A102),"")</f>
        <v>67</v>
      </c>
      <c r="B103" s="7" t="s">
        <v>47</v>
      </c>
      <c r="C103" s="28" t="s">
        <v>64</v>
      </c>
      <c r="D103" s="28"/>
      <c r="E103" s="94" t="s">
        <v>63</v>
      </c>
      <c r="F103" s="5">
        <f>2*306*1.043*1.2</f>
        <v>765.97919999999988</v>
      </c>
      <c r="G103" s="16">
        <v>7.0000000000000007E-2</v>
      </c>
      <c r="H103" s="6">
        <f>F103*(1+G103)</f>
        <v>819.59774399999992</v>
      </c>
      <c r="I103" s="7" t="s">
        <v>17</v>
      </c>
      <c r="J103" s="36">
        <f>J$11</f>
        <v>0</v>
      </c>
      <c r="K103" s="36">
        <f>K$11</f>
        <v>0</v>
      </c>
      <c r="L103" s="36">
        <f>J103+K103</f>
        <v>0</v>
      </c>
      <c r="M103" s="121">
        <f>L103*H103</f>
        <v>0</v>
      </c>
    </row>
    <row r="104" spans="1:107" ht="20.25" customHeight="1" x14ac:dyDescent="0.2">
      <c r="A104" s="14">
        <f>IF(F104&lt;&gt;"",1+MAX($A$6:A103),"")</f>
        <v>68</v>
      </c>
      <c r="B104" s="7" t="s">
        <v>47</v>
      </c>
      <c r="C104" s="28" t="s">
        <v>64</v>
      </c>
      <c r="D104" s="28"/>
      <c r="E104" s="94" t="s">
        <v>27</v>
      </c>
      <c r="F104" s="5">
        <f>306*2.33*1.33/27</f>
        <v>35.120866666666672</v>
      </c>
      <c r="G104" s="16">
        <v>7.0000000000000007E-2</v>
      </c>
      <c r="H104" s="6">
        <f>F104*(1+G104)</f>
        <v>37.579327333333339</v>
      </c>
      <c r="I104" s="7" t="s">
        <v>16</v>
      </c>
      <c r="J104" s="36">
        <f>J$13</f>
        <v>0</v>
      </c>
      <c r="K104" s="36">
        <f>K$13</f>
        <v>0</v>
      </c>
      <c r="L104" s="36">
        <f>J104+K104</f>
        <v>0</v>
      </c>
      <c r="M104" s="121">
        <f>L104*H104</f>
        <v>0</v>
      </c>
    </row>
    <row r="105" spans="1:107" ht="20.25" customHeight="1" x14ac:dyDescent="0.2">
      <c r="A105" s="14">
        <f>IF(F105&lt;&gt;"",1+MAX($A$6:A104),"")</f>
        <v>69</v>
      </c>
      <c r="B105" s="7" t="s">
        <v>47</v>
      </c>
      <c r="C105" s="28" t="s">
        <v>64</v>
      </c>
      <c r="D105" s="28"/>
      <c r="E105" s="94" t="s">
        <v>19</v>
      </c>
      <c r="F105" s="5">
        <f>F104-F101</f>
        <v>4.9742000000000033</v>
      </c>
      <c r="G105" s="16">
        <v>7.0000000000000007E-2</v>
      </c>
      <c r="H105" s="6">
        <f>F105*(1+G105)</f>
        <v>5.3223940000000036</v>
      </c>
      <c r="I105" s="7" t="s">
        <v>16</v>
      </c>
      <c r="J105" s="36">
        <f>J$14</f>
        <v>0</v>
      </c>
      <c r="K105" s="36">
        <f>K$14</f>
        <v>0</v>
      </c>
      <c r="L105" s="36">
        <f>J105+K105</f>
        <v>0</v>
      </c>
      <c r="M105" s="121">
        <f>L105*H105</f>
        <v>0</v>
      </c>
    </row>
    <row r="106" spans="1:107" s="56" customFormat="1" ht="20.25" customHeight="1" x14ac:dyDescent="0.2">
      <c r="A106" s="123" t="s">
        <v>10</v>
      </c>
      <c r="B106" s="98"/>
      <c r="C106" s="98"/>
      <c r="D106" s="98"/>
      <c r="E106" s="99" t="s">
        <v>22</v>
      </c>
      <c r="F106" s="100"/>
      <c r="G106" s="101"/>
      <c r="H106" s="101"/>
      <c r="I106" s="102"/>
      <c r="J106" s="103"/>
      <c r="K106" s="103"/>
      <c r="L106" s="103"/>
      <c r="M106" s="124">
        <f>(SUM(M7:M105))</f>
        <v>0</v>
      </c>
      <c r="N106" s="26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2"/>
      <c r="AA106" s="12"/>
      <c r="AB106" s="12"/>
      <c r="AC106" s="12"/>
      <c r="AD106" s="12"/>
      <c r="AE106" s="12"/>
      <c r="AF106" s="12"/>
      <c r="AG106" s="12"/>
      <c r="AH106" s="12"/>
      <c r="AI106" s="12"/>
      <c r="AJ106" s="12"/>
      <c r="AK106" s="12"/>
      <c r="AL106" s="12"/>
      <c r="AM106" s="12"/>
      <c r="AN106" s="12"/>
      <c r="AO106" s="12"/>
      <c r="AP106" s="12"/>
      <c r="AQ106" s="12"/>
      <c r="AR106" s="12"/>
      <c r="AS106" s="12"/>
      <c r="AT106" s="12"/>
      <c r="AU106" s="12"/>
      <c r="AV106" s="12"/>
      <c r="AW106" s="12"/>
      <c r="AX106" s="12"/>
      <c r="AY106" s="12"/>
      <c r="AZ106" s="12"/>
      <c r="BA106" s="12"/>
      <c r="BB106" s="12"/>
      <c r="BC106" s="12"/>
      <c r="BD106" s="12"/>
      <c r="BE106" s="12"/>
      <c r="BF106" s="12"/>
      <c r="BG106" s="12"/>
      <c r="BH106" s="12"/>
      <c r="BI106" s="12"/>
      <c r="BJ106" s="12"/>
      <c r="BK106" s="12"/>
      <c r="BL106" s="12"/>
      <c r="BM106" s="12"/>
      <c r="BN106" s="12"/>
      <c r="BO106" s="12"/>
      <c r="BP106" s="12"/>
      <c r="BQ106" s="12"/>
      <c r="BR106" s="12"/>
      <c r="BS106" s="12"/>
      <c r="BT106" s="12"/>
      <c r="BU106" s="12"/>
      <c r="BV106" s="12"/>
      <c r="BW106" s="12"/>
      <c r="BX106" s="12"/>
      <c r="BY106" s="12"/>
      <c r="BZ106" s="12"/>
      <c r="CA106" s="12"/>
      <c r="CB106" s="12"/>
      <c r="CC106" s="12"/>
      <c r="CD106" s="12"/>
      <c r="CE106" s="12"/>
      <c r="CF106" s="12"/>
      <c r="CG106" s="12"/>
      <c r="CH106" s="12"/>
      <c r="CI106" s="12"/>
      <c r="CJ106" s="12"/>
      <c r="CK106" s="12"/>
      <c r="CL106" s="12"/>
      <c r="CM106" s="12"/>
      <c r="CN106" s="12"/>
      <c r="CO106" s="12"/>
      <c r="CP106" s="12"/>
      <c r="CQ106" s="12"/>
      <c r="CR106" s="12"/>
      <c r="CS106" s="12"/>
      <c r="CT106" s="12"/>
      <c r="CU106" s="12"/>
      <c r="CV106" s="12"/>
      <c r="CW106" s="12"/>
      <c r="CX106" s="12"/>
      <c r="CY106" s="12"/>
      <c r="CZ106" s="12"/>
      <c r="DA106" s="12"/>
      <c r="DB106" s="12"/>
      <c r="DC106" s="12"/>
    </row>
    <row r="107" spans="1:107" s="85" customFormat="1" ht="20.25" customHeight="1" x14ac:dyDescent="0.2">
      <c r="A107" s="125" t="s">
        <v>23</v>
      </c>
      <c r="B107" s="104"/>
      <c r="C107" s="104"/>
      <c r="D107" s="104"/>
      <c r="E107" s="105"/>
      <c r="F107" s="106"/>
      <c r="G107" s="107"/>
      <c r="H107" s="108"/>
      <c r="I107" s="104"/>
      <c r="J107" s="109"/>
      <c r="K107" s="109"/>
      <c r="L107" s="109"/>
      <c r="M107" s="126">
        <v>0.2</v>
      </c>
      <c r="N107" s="12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2"/>
      <c r="Z107" s="12"/>
      <c r="AA107" s="12"/>
      <c r="AB107" s="12"/>
      <c r="AC107" s="12"/>
      <c r="AD107" s="12"/>
      <c r="AE107" s="12"/>
      <c r="AF107" s="12"/>
      <c r="AG107" s="12"/>
      <c r="AH107" s="12"/>
      <c r="AI107" s="12"/>
      <c r="AJ107" s="12"/>
      <c r="AK107" s="12"/>
      <c r="AL107" s="12"/>
      <c r="AM107" s="12"/>
      <c r="AN107" s="12"/>
      <c r="AO107" s="12"/>
      <c r="AP107" s="12"/>
      <c r="AQ107" s="12"/>
      <c r="AR107" s="12"/>
      <c r="AS107" s="12"/>
      <c r="AT107" s="12"/>
      <c r="AU107" s="12"/>
      <c r="AV107" s="12"/>
      <c r="AW107" s="12"/>
      <c r="AX107" s="12"/>
      <c r="AY107" s="12"/>
      <c r="AZ107" s="12"/>
      <c r="BA107" s="12"/>
      <c r="BB107" s="12"/>
      <c r="BC107" s="12"/>
      <c r="BD107" s="12"/>
      <c r="BE107" s="12"/>
      <c r="BF107" s="12"/>
      <c r="BG107" s="12"/>
      <c r="BH107" s="12"/>
      <c r="BI107" s="12"/>
      <c r="BJ107" s="12"/>
      <c r="BK107" s="12"/>
      <c r="BL107" s="12"/>
      <c r="BM107" s="12"/>
      <c r="BN107" s="12"/>
      <c r="BO107" s="12"/>
      <c r="BP107" s="12"/>
      <c r="BQ107" s="12"/>
      <c r="BR107" s="12"/>
      <c r="BS107" s="12"/>
      <c r="BT107" s="12"/>
      <c r="BU107" s="12"/>
      <c r="BV107" s="12"/>
      <c r="BW107" s="12"/>
      <c r="BX107" s="12"/>
      <c r="BY107" s="12"/>
      <c r="BZ107" s="12"/>
      <c r="CA107" s="12"/>
      <c r="CB107" s="12"/>
      <c r="CC107" s="12"/>
      <c r="CD107" s="12"/>
      <c r="CE107" s="12"/>
      <c r="CF107" s="12"/>
      <c r="CG107" s="12"/>
      <c r="CH107" s="12"/>
      <c r="CI107" s="12"/>
      <c r="CJ107" s="12"/>
      <c r="CK107" s="12"/>
      <c r="CL107" s="12"/>
      <c r="CM107" s="12"/>
      <c r="CN107" s="12"/>
      <c r="CO107" s="12"/>
      <c r="CP107" s="12"/>
      <c r="CQ107" s="12"/>
      <c r="CR107" s="12"/>
      <c r="CS107" s="12"/>
      <c r="CT107" s="12"/>
      <c r="CU107" s="12"/>
      <c r="CV107" s="12"/>
      <c r="CW107" s="12"/>
      <c r="CX107" s="12"/>
      <c r="CY107" s="12"/>
      <c r="CZ107" s="12"/>
      <c r="DA107" s="12"/>
      <c r="DB107" s="12"/>
      <c r="DC107" s="12"/>
    </row>
    <row r="108" spans="1:107" s="85" customFormat="1" ht="20.25" customHeight="1" x14ac:dyDescent="0.2">
      <c r="A108" s="125" t="s">
        <v>28</v>
      </c>
      <c r="B108" s="104"/>
      <c r="C108" s="104"/>
      <c r="D108" s="104"/>
      <c r="E108" s="105"/>
      <c r="F108" s="106"/>
      <c r="G108" s="107"/>
      <c r="H108" s="108"/>
      <c r="I108" s="104"/>
      <c r="J108" s="109"/>
      <c r="K108" s="109"/>
      <c r="L108" s="109"/>
      <c r="M108" s="126">
        <v>0.05</v>
      </c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  <c r="AA108" s="12"/>
      <c r="AB108" s="12"/>
      <c r="AC108" s="12"/>
      <c r="AD108" s="12"/>
      <c r="AE108" s="12"/>
      <c r="AF108" s="12"/>
      <c r="AG108" s="12"/>
      <c r="AH108" s="12"/>
      <c r="AI108" s="12"/>
      <c r="AJ108" s="12"/>
      <c r="AK108" s="12"/>
      <c r="AL108" s="12"/>
      <c r="AM108" s="12"/>
      <c r="AN108" s="12"/>
      <c r="AO108" s="12"/>
      <c r="AP108" s="12"/>
      <c r="AQ108" s="12"/>
      <c r="AR108" s="12"/>
      <c r="AS108" s="12"/>
      <c r="AT108" s="12"/>
      <c r="AU108" s="12"/>
      <c r="AV108" s="12"/>
      <c r="AW108" s="12"/>
      <c r="AX108" s="12"/>
      <c r="AY108" s="12"/>
      <c r="AZ108" s="12"/>
      <c r="BA108" s="12"/>
      <c r="BB108" s="12"/>
      <c r="BC108" s="12"/>
      <c r="BD108" s="12"/>
      <c r="BE108" s="12"/>
      <c r="BF108" s="12"/>
      <c r="BG108" s="12"/>
      <c r="BH108" s="12"/>
      <c r="BI108" s="12"/>
      <c r="BJ108" s="12"/>
      <c r="BK108" s="12"/>
      <c r="BL108" s="12"/>
      <c r="BM108" s="12"/>
      <c r="BN108" s="12"/>
      <c r="BO108" s="12"/>
      <c r="BP108" s="12"/>
      <c r="BQ108" s="12"/>
      <c r="BR108" s="12"/>
      <c r="BS108" s="12"/>
      <c r="BT108" s="12"/>
      <c r="BU108" s="12"/>
      <c r="BV108" s="12"/>
      <c r="BW108" s="12"/>
      <c r="BX108" s="12"/>
      <c r="BY108" s="12"/>
      <c r="BZ108" s="12"/>
      <c r="CA108" s="12"/>
      <c r="CB108" s="12"/>
      <c r="CC108" s="12"/>
      <c r="CD108" s="12"/>
      <c r="CE108" s="12"/>
      <c r="CF108" s="12"/>
      <c r="CG108" s="12"/>
      <c r="CH108" s="12"/>
      <c r="CI108" s="12"/>
      <c r="CJ108" s="12"/>
      <c r="CK108" s="12"/>
      <c r="CL108" s="12"/>
      <c r="CM108" s="12"/>
      <c r="CN108" s="12"/>
      <c r="CO108" s="12"/>
      <c r="CP108" s="12"/>
      <c r="CQ108" s="12"/>
      <c r="CR108" s="12"/>
      <c r="CS108" s="12"/>
      <c r="CT108" s="12"/>
      <c r="CU108" s="12"/>
      <c r="CV108" s="12"/>
      <c r="CW108" s="12"/>
      <c r="CX108" s="12"/>
      <c r="CY108" s="12"/>
      <c r="CZ108" s="12"/>
      <c r="DA108" s="12"/>
      <c r="DB108" s="12"/>
      <c r="DC108" s="12"/>
    </row>
    <row r="109" spans="1:107" s="56" customFormat="1" ht="20.25" customHeight="1" thickBot="1" x14ac:dyDescent="0.25">
      <c r="A109" s="127" t="s">
        <v>34</v>
      </c>
      <c r="B109" s="128"/>
      <c r="C109" s="128"/>
      <c r="D109" s="128"/>
      <c r="E109" s="129"/>
      <c r="F109" s="130"/>
      <c r="G109" s="131"/>
      <c r="H109" s="131"/>
      <c r="I109" s="132"/>
      <c r="J109" s="133"/>
      <c r="K109" s="133"/>
      <c r="L109" s="133"/>
      <c r="M109" s="134"/>
      <c r="N109" s="26"/>
      <c r="O109" s="12"/>
      <c r="P109" s="12"/>
      <c r="Q109" s="12"/>
      <c r="R109" s="12"/>
      <c r="S109" s="12"/>
      <c r="T109" s="12"/>
      <c r="U109" s="12"/>
      <c r="V109" s="12"/>
      <c r="W109" s="12"/>
      <c r="X109" s="12"/>
      <c r="Y109" s="12"/>
      <c r="Z109" s="12"/>
      <c r="AA109" s="12"/>
      <c r="AB109" s="12"/>
      <c r="AC109" s="12"/>
      <c r="AD109" s="12"/>
      <c r="AE109" s="12"/>
      <c r="AF109" s="12"/>
      <c r="AG109" s="12"/>
      <c r="AH109" s="12"/>
      <c r="AI109" s="12"/>
      <c r="AJ109" s="12"/>
      <c r="AK109" s="12"/>
      <c r="AL109" s="12"/>
      <c r="AM109" s="12"/>
      <c r="AN109" s="12"/>
      <c r="AO109" s="12"/>
      <c r="AP109" s="12"/>
      <c r="AQ109" s="12"/>
      <c r="AR109" s="12"/>
      <c r="AS109" s="12"/>
      <c r="AT109" s="12"/>
      <c r="AU109" s="12"/>
      <c r="AV109" s="12"/>
      <c r="AW109" s="12"/>
      <c r="AX109" s="12"/>
      <c r="AY109" s="12"/>
      <c r="AZ109" s="12"/>
      <c r="BA109" s="12"/>
      <c r="BB109" s="12"/>
      <c r="BC109" s="12"/>
      <c r="BD109" s="12"/>
      <c r="BE109" s="12"/>
      <c r="BF109" s="12"/>
      <c r="BG109" s="12"/>
      <c r="BH109" s="12"/>
      <c r="BI109" s="12"/>
      <c r="BJ109" s="12"/>
      <c r="BK109" s="12"/>
      <c r="BL109" s="12"/>
      <c r="BM109" s="12"/>
      <c r="BN109" s="12"/>
      <c r="BO109" s="12"/>
      <c r="BP109" s="12"/>
      <c r="BQ109" s="12"/>
      <c r="BR109" s="12"/>
      <c r="BS109" s="12"/>
      <c r="BT109" s="12"/>
      <c r="BU109" s="12"/>
      <c r="BV109" s="12"/>
      <c r="BW109" s="12"/>
      <c r="BX109" s="12"/>
      <c r="BY109" s="12"/>
      <c r="BZ109" s="12"/>
      <c r="CA109" s="12"/>
      <c r="CB109" s="12"/>
      <c r="CC109" s="12"/>
      <c r="CD109" s="12"/>
      <c r="CE109" s="12"/>
      <c r="CF109" s="12"/>
      <c r="CG109" s="12"/>
      <c r="CH109" s="12"/>
      <c r="CI109" s="12"/>
      <c r="CJ109" s="12"/>
      <c r="CK109" s="12"/>
      <c r="CL109" s="12"/>
      <c r="CM109" s="12"/>
      <c r="CN109" s="12"/>
      <c r="CO109" s="12"/>
      <c r="CP109" s="12"/>
      <c r="CQ109" s="12"/>
      <c r="CR109" s="12"/>
      <c r="CS109" s="12"/>
      <c r="CT109" s="12"/>
      <c r="CU109" s="12"/>
      <c r="CV109" s="12"/>
      <c r="CW109" s="12"/>
      <c r="CX109" s="12"/>
      <c r="CY109" s="12"/>
      <c r="CZ109" s="12"/>
      <c r="DA109" s="12"/>
      <c r="DB109" s="12"/>
      <c r="DC109" s="12"/>
    </row>
    <row r="110" spans="1:107" ht="16.5" thickBot="1" x14ac:dyDescent="0.25"/>
    <row r="111" spans="1:107" ht="21.75" thickBot="1" x14ac:dyDescent="0.25">
      <c r="A111" s="171" t="s">
        <v>30</v>
      </c>
      <c r="B111" s="172"/>
      <c r="C111" s="172"/>
      <c r="D111" s="172"/>
      <c r="E111" s="172"/>
      <c r="F111" s="172"/>
      <c r="G111" s="172"/>
      <c r="H111" s="172"/>
      <c r="I111" s="172"/>
      <c r="J111" s="172"/>
      <c r="K111" s="172"/>
      <c r="L111" s="172"/>
      <c r="M111" s="172"/>
    </row>
    <row r="112" spans="1:107" x14ac:dyDescent="0.2">
      <c r="A112" s="162" t="str">
        <f>IF(F112&lt;&gt;"",1+MAX(#REF!),"")</f>
        <v/>
      </c>
      <c r="B112" s="154"/>
      <c r="C112" s="155"/>
      <c r="D112" s="156" t="s">
        <v>94</v>
      </c>
      <c r="E112" s="157" t="s">
        <v>93</v>
      </c>
      <c r="F112" s="158"/>
      <c r="G112" s="159"/>
      <c r="H112" s="159"/>
      <c r="I112" s="159"/>
      <c r="J112" s="160"/>
      <c r="K112" s="160"/>
      <c r="L112" s="161"/>
      <c r="M112" s="159"/>
    </row>
    <row r="113" spans="1:13" x14ac:dyDescent="0.2">
      <c r="A113" s="14" t="str">
        <f>IF(F113&lt;&gt;"",1+MAX(#REF!),"")</f>
        <v/>
      </c>
      <c r="B113" s="7"/>
      <c r="C113" s="28"/>
      <c r="D113" s="28"/>
      <c r="E113" s="92" t="s">
        <v>37</v>
      </c>
      <c r="F113" s="5"/>
      <c r="G113" s="16"/>
      <c r="H113" s="6"/>
      <c r="I113" s="7"/>
      <c r="J113" s="17"/>
      <c r="K113" s="17"/>
      <c r="L113" s="93"/>
      <c r="M113" s="149"/>
    </row>
    <row r="114" spans="1:13" ht="47.25" x14ac:dyDescent="0.2">
      <c r="A114" s="14" t="str">
        <f>IF(F114&lt;&gt;"",1+MAX(#REF!),"")</f>
        <v/>
      </c>
      <c r="B114" s="7"/>
      <c r="C114" s="28"/>
      <c r="D114" s="28"/>
      <c r="E114" s="92" t="s">
        <v>125</v>
      </c>
      <c r="F114" s="5"/>
      <c r="G114" s="16"/>
      <c r="H114" s="6"/>
      <c r="I114" s="7"/>
      <c r="J114" s="17"/>
      <c r="K114" s="17"/>
      <c r="L114" s="93"/>
      <c r="M114" s="149"/>
    </row>
    <row r="115" spans="1:13" x14ac:dyDescent="0.2">
      <c r="A115" s="14" t="e">
        <f>IF(F115&lt;&gt;"",1+MAX(#REF!),"")</f>
        <v>#REF!</v>
      </c>
      <c r="B115" s="7" t="s">
        <v>35</v>
      </c>
      <c r="C115" s="28" t="s">
        <v>36</v>
      </c>
      <c r="D115" s="28"/>
      <c r="E115" s="94" t="s">
        <v>104</v>
      </c>
      <c r="F115" s="5">
        <f>3.14*2*2*0.25*4*4/27</f>
        <v>1.8607407407407408</v>
      </c>
      <c r="G115" s="89">
        <v>7.0000000000000007E-2</v>
      </c>
      <c r="H115" s="6">
        <f>F115*(1+G115)</f>
        <v>1.9909925925925929</v>
      </c>
      <c r="I115" s="7" t="s">
        <v>16</v>
      </c>
      <c r="J115" s="36">
        <v>0</v>
      </c>
      <c r="K115" s="36">
        <v>0</v>
      </c>
      <c r="L115" s="36">
        <f>J115+K115</f>
        <v>0</v>
      </c>
      <c r="M115" s="95">
        <f>L115*H115</f>
        <v>0</v>
      </c>
    </row>
    <row r="116" spans="1:13" x14ac:dyDescent="0.2">
      <c r="A116" s="14" t="e">
        <f>IF(F116&lt;&gt;"",1+MAX(#REF!),"")</f>
        <v>#REF!</v>
      </c>
      <c r="B116" s="7" t="s">
        <v>35</v>
      </c>
      <c r="C116" s="28" t="s">
        <v>36</v>
      </c>
      <c r="D116" s="28"/>
      <c r="E116" s="94" t="s">
        <v>134</v>
      </c>
      <c r="F116" s="5">
        <f>3.14*2*4*4</f>
        <v>100.48</v>
      </c>
      <c r="G116" s="16">
        <v>7.0000000000000007E-2</v>
      </c>
      <c r="H116" s="6">
        <f>F116*(1+G116)</f>
        <v>107.51360000000001</v>
      </c>
      <c r="I116" s="7" t="s">
        <v>18</v>
      </c>
      <c r="J116" s="36">
        <v>0</v>
      </c>
      <c r="K116" s="36">
        <v>0</v>
      </c>
      <c r="L116" s="36">
        <f>J116+K116</f>
        <v>0</v>
      </c>
      <c r="M116" s="95">
        <f>L116*H116</f>
        <v>0</v>
      </c>
    </row>
    <row r="117" spans="1:13" x14ac:dyDescent="0.2">
      <c r="A117" s="14" t="e">
        <f>IF(F117&lt;&gt;"",1+MAX(#REF!),"")</f>
        <v>#REF!</v>
      </c>
      <c r="B117" s="7" t="s">
        <v>35</v>
      </c>
      <c r="C117" s="28" t="s">
        <v>36</v>
      </c>
      <c r="D117" s="28"/>
      <c r="E117" s="94" t="s">
        <v>144</v>
      </c>
      <c r="F117" s="5">
        <f>3.14*3*3*0.25*4*4/27</f>
        <v>4.1866666666666665</v>
      </c>
      <c r="G117" s="16">
        <v>7.0000000000000007E-2</v>
      </c>
      <c r="H117" s="6">
        <f>F117*(1+G117)</f>
        <v>4.4797333333333338</v>
      </c>
      <c r="I117" s="7" t="s">
        <v>16</v>
      </c>
      <c r="J117" s="36">
        <v>0</v>
      </c>
      <c r="K117" s="36">
        <v>0</v>
      </c>
      <c r="L117" s="36">
        <f>J117+K117</f>
        <v>0</v>
      </c>
      <c r="M117" s="95">
        <f>L117*H117</f>
        <v>0</v>
      </c>
    </row>
    <row r="118" spans="1:13" x14ac:dyDescent="0.2">
      <c r="A118" s="14" t="e">
        <f>IF(F118&lt;&gt;"",1+MAX(#REF!),"")</f>
        <v>#REF!</v>
      </c>
      <c r="B118" s="7" t="s">
        <v>35</v>
      </c>
      <c r="C118" s="28" t="s">
        <v>36</v>
      </c>
      <c r="D118" s="28"/>
      <c r="E118" s="94" t="s">
        <v>19</v>
      </c>
      <c r="F118" s="5">
        <f>F117-F115</f>
        <v>2.325925925925926</v>
      </c>
      <c r="G118" s="16">
        <v>7.0000000000000007E-2</v>
      </c>
      <c r="H118" s="6">
        <f>F118*(1+G118)</f>
        <v>2.4887407407407407</v>
      </c>
      <c r="I118" s="7" t="s">
        <v>16</v>
      </c>
      <c r="J118" s="36">
        <v>0</v>
      </c>
      <c r="K118" s="36">
        <v>0</v>
      </c>
      <c r="L118" s="36">
        <f>J118+K118</f>
        <v>0</v>
      </c>
      <c r="M118" s="95">
        <f>L118*H118</f>
        <v>0</v>
      </c>
    </row>
    <row r="119" spans="1:13" x14ac:dyDescent="0.2">
      <c r="A119" s="14" t="str">
        <f>IF(F119&lt;&gt;"",1+MAX(#REF!),"")</f>
        <v/>
      </c>
      <c r="B119" s="7"/>
      <c r="C119" s="28"/>
      <c r="D119" s="28"/>
      <c r="E119" s="27"/>
      <c r="F119" s="5"/>
      <c r="G119" s="16"/>
      <c r="H119" s="6"/>
      <c r="I119" s="7"/>
      <c r="J119" s="36"/>
      <c r="K119" s="36"/>
      <c r="L119" s="97"/>
      <c r="M119" s="95"/>
    </row>
    <row r="120" spans="1:13" x14ac:dyDescent="0.2">
      <c r="A120" s="14" t="str">
        <f>IF(F120&lt;&gt;"",1+MAX(#REF!),"")</f>
        <v/>
      </c>
      <c r="B120" s="7"/>
      <c r="C120" s="28"/>
      <c r="D120" s="28"/>
      <c r="E120" s="92" t="s">
        <v>95</v>
      </c>
      <c r="F120" s="5"/>
      <c r="G120" s="16"/>
      <c r="H120" s="6"/>
      <c r="I120" s="7"/>
      <c r="J120" s="17"/>
      <c r="K120" s="17"/>
      <c r="L120" s="93"/>
      <c r="M120" s="149"/>
    </row>
    <row r="121" spans="1:13" ht="47.25" x14ac:dyDescent="0.2">
      <c r="A121" s="14" t="str">
        <f>IF(F121&lt;&gt;"",1+MAX(#REF!),"")</f>
        <v/>
      </c>
      <c r="B121" s="7"/>
      <c r="C121" s="28"/>
      <c r="D121" s="28"/>
      <c r="E121" s="92" t="s">
        <v>126</v>
      </c>
      <c r="F121" s="5"/>
      <c r="G121" s="16"/>
      <c r="H121" s="6"/>
      <c r="I121" s="7"/>
      <c r="J121" s="17"/>
      <c r="K121" s="17"/>
      <c r="L121" s="93"/>
      <c r="M121" s="149"/>
    </row>
    <row r="122" spans="1:13" x14ac:dyDescent="0.2">
      <c r="A122" s="14" t="e">
        <f>IF(F122&lt;&gt;"",1+MAX(#REF!),"")</f>
        <v>#REF!</v>
      </c>
      <c r="B122" s="7" t="s">
        <v>41</v>
      </c>
      <c r="C122" s="150" t="s">
        <v>71</v>
      </c>
      <c r="D122" s="28"/>
      <c r="E122" s="94" t="s">
        <v>104</v>
      </c>
      <c r="F122" s="5">
        <f>3.14*2*2*0.25*4*13/27</f>
        <v>6.0474074074074071</v>
      </c>
      <c r="G122" s="89">
        <v>7.0000000000000007E-2</v>
      </c>
      <c r="H122" s="6">
        <f>F122*(1+G122)</f>
        <v>6.470725925925926</v>
      </c>
      <c r="I122" s="7" t="s">
        <v>16</v>
      </c>
      <c r="J122" s="36">
        <f t="shared" ref="J122:K122" si="6">J$10</f>
        <v>0</v>
      </c>
      <c r="K122" s="36">
        <f t="shared" si="6"/>
        <v>0</v>
      </c>
      <c r="L122" s="36">
        <f>J122+K122</f>
        <v>0</v>
      </c>
      <c r="M122" s="95">
        <f>L122*H122</f>
        <v>0</v>
      </c>
    </row>
    <row r="123" spans="1:13" x14ac:dyDescent="0.2">
      <c r="A123" s="14" t="e">
        <f>IF(F123&lt;&gt;"",1+MAX(#REF!),"")</f>
        <v>#REF!</v>
      </c>
      <c r="B123" s="7" t="s">
        <v>41</v>
      </c>
      <c r="C123" s="150" t="s">
        <v>71</v>
      </c>
      <c r="D123" s="28"/>
      <c r="E123" s="94" t="s">
        <v>134</v>
      </c>
      <c r="F123" s="5">
        <f>3.14*2*4*13</f>
        <v>326.56</v>
      </c>
      <c r="G123" s="16">
        <v>7.0000000000000007E-2</v>
      </c>
      <c r="H123" s="6">
        <f>F123*(1+G123)</f>
        <v>349.41920000000005</v>
      </c>
      <c r="I123" s="7" t="s">
        <v>18</v>
      </c>
      <c r="J123" s="36">
        <f>J$11</f>
        <v>0</v>
      </c>
      <c r="K123" s="36">
        <f>K$11</f>
        <v>0</v>
      </c>
      <c r="L123" s="36">
        <f>J123+K123</f>
        <v>0</v>
      </c>
      <c r="M123" s="95">
        <f>L123*H123</f>
        <v>0</v>
      </c>
    </row>
    <row r="124" spans="1:13" x14ac:dyDescent="0.2">
      <c r="A124" s="14" t="e">
        <f>IF(F124&lt;&gt;"",1+MAX(#REF!),"")</f>
        <v>#REF!</v>
      </c>
      <c r="B124" s="7" t="s">
        <v>41</v>
      </c>
      <c r="C124" s="150" t="s">
        <v>71</v>
      </c>
      <c r="D124" s="28"/>
      <c r="E124" s="94" t="s">
        <v>144</v>
      </c>
      <c r="F124" s="5">
        <f>3.14*3*3*0.25*4*13/27</f>
        <v>13.606666666666667</v>
      </c>
      <c r="G124" s="16">
        <v>7.0000000000000007E-2</v>
      </c>
      <c r="H124" s="6">
        <f>F124*(1+G124)</f>
        <v>14.559133333333335</v>
      </c>
      <c r="I124" s="7" t="s">
        <v>16</v>
      </c>
      <c r="J124" s="36">
        <f>J$12</f>
        <v>0</v>
      </c>
      <c r="K124" s="36">
        <f>K$12</f>
        <v>0</v>
      </c>
      <c r="L124" s="36">
        <f>J124+K124</f>
        <v>0</v>
      </c>
      <c r="M124" s="95">
        <f>L124*H124</f>
        <v>0</v>
      </c>
    </row>
    <row r="125" spans="1:13" x14ac:dyDescent="0.2">
      <c r="A125" s="14" t="e">
        <f>IF(F125&lt;&gt;"",1+MAX(#REF!),"")</f>
        <v>#REF!</v>
      </c>
      <c r="B125" s="7" t="s">
        <v>41</v>
      </c>
      <c r="C125" s="150" t="s">
        <v>71</v>
      </c>
      <c r="D125" s="28"/>
      <c r="E125" s="94" t="s">
        <v>19</v>
      </c>
      <c r="F125" s="5">
        <f>F124-F122</f>
        <v>7.5592592592592602</v>
      </c>
      <c r="G125" s="16">
        <v>7.0000000000000007E-2</v>
      </c>
      <c r="H125" s="6">
        <f>F125*(1+G125)</f>
        <v>8.0884074074074093</v>
      </c>
      <c r="I125" s="7" t="s">
        <v>16</v>
      </c>
      <c r="J125" s="36">
        <f t="shared" ref="J125:K125" si="7">J$13</f>
        <v>0</v>
      </c>
      <c r="K125" s="36">
        <f t="shared" si="7"/>
        <v>0</v>
      </c>
      <c r="L125" s="36">
        <f>J125+K125</f>
        <v>0</v>
      </c>
      <c r="M125" s="95">
        <f>L125*H125</f>
        <v>0</v>
      </c>
    </row>
    <row r="126" spans="1:13" x14ac:dyDescent="0.2">
      <c r="A126" s="14" t="str">
        <f>IF(F126&lt;&gt;"",1+MAX(#REF!),"")</f>
        <v/>
      </c>
      <c r="B126" s="7"/>
      <c r="C126" s="28"/>
      <c r="D126" s="28"/>
      <c r="E126" s="27"/>
      <c r="F126" s="5"/>
      <c r="G126" s="16"/>
      <c r="H126" s="6"/>
      <c r="I126" s="7"/>
      <c r="J126" s="36"/>
      <c r="K126" s="36"/>
      <c r="L126" s="97"/>
      <c r="M126" s="95"/>
    </row>
    <row r="127" spans="1:13" x14ac:dyDescent="0.2">
      <c r="A127" s="14" t="str">
        <f>IF(F127&lt;&gt;"",1+MAX(#REF!),"")</f>
        <v/>
      </c>
      <c r="B127" s="7"/>
      <c r="C127" s="28"/>
      <c r="D127" s="28"/>
      <c r="E127" s="92" t="s">
        <v>88</v>
      </c>
      <c r="F127" s="5"/>
      <c r="G127" s="16"/>
      <c r="H127" s="6"/>
      <c r="I127" s="7"/>
      <c r="J127" s="17"/>
      <c r="K127" s="17"/>
      <c r="L127" s="93"/>
      <c r="M127" s="149"/>
    </row>
    <row r="128" spans="1:13" ht="47.25" x14ac:dyDescent="0.2">
      <c r="A128" s="14" t="str">
        <f>IF(F128&lt;&gt;"",1+MAX(#REF!),"")</f>
        <v/>
      </c>
      <c r="B128" s="7"/>
      <c r="C128" s="28"/>
      <c r="D128" s="28"/>
      <c r="E128" s="92" t="s">
        <v>127</v>
      </c>
      <c r="F128" s="5"/>
      <c r="G128" s="16"/>
      <c r="H128" s="6"/>
      <c r="I128" s="7"/>
      <c r="J128" s="17"/>
      <c r="K128" s="17"/>
      <c r="L128" s="93"/>
      <c r="M128" s="149"/>
    </row>
    <row r="129" spans="1:13" x14ac:dyDescent="0.2">
      <c r="A129" s="14" t="e">
        <f>IF(F129&lt;&gt;"",1+MAX(#REF!),"")</f>
        <v>#REF!</v>
      </c>
      <c r="B129" s="7" t="s">
        <v>41</v>
      </c>
      <c r="C129" s="150" t="s">
        <v>71</v>
      </c>
      <c r="D129" s="28"/>
      <c r="E129" s="94" t="s">
        <v>104</v>
      </c>
      <c r="F129" s="151">
        <f>3.14*2*2*0.25*4*1/27</f>
        <v>0.4651851851851852</v>
      </c>
      <c r="G129" s="89">
        <v>7.0000000000000007E-2</v>
      </c>
      <c r="H129" s="152">
        <f>F129*(1+G129)</f>
        <v>0.49774814814814822</v>
      </c>
      <c r="I129" s="7" t="s">
        <v>16</v>
      </c>
      <c r="J129" s="36">
        <f t="shared" ref="J129:K129" si="8">J$10</f>
        <v>0</v>
      </c>
      <c r="K129" s="36">
        <f t="shared" si="8"/>
        <v>0</v>
      </c>
      <c r="L129" s="36">
        <f>J129+K129</f>
        <v>0</v>
      </c>
      <c r="M129" s="95">
        <f>L129*H129</f>
        <v>0</v>
      </c>
    </row>
    <row r="130" spans="1:13" x14ac:dyDescent="0.2">
      <c r="A130" s="14" t="e">
        <f>IF(F130&lt;&gt;"",1+MAX(#REF!),"")</f>
        <v>#REF!</v>
      </c>
      <c r="B130" s="7" t="s">
        <v>41</v>
      </c>
      <c r="C130" s="150" t="s">
        <v>71</v>
      </c>
      <c r="D130" s="28"/>
      <c r="E130" s="94" t="s">
        <v>134</v>
      </c>
      <c r="F130" s="5">
        <f>3.14*2*4*1</f>
        <v>25.12</v>
      </c>
      <c r="G130" s="16">
        <v>7.0000000000000007E-2</v>
      </c>
      <c r="H130" s="6">
        <f>F130*(1+G130)</f>
        <v>26.878400000000003</v>
      </c>
      <c r="I130" s="7" t="s">
        <v>18</v>
      </c>
      <c r="J130" s="36">
        <f>J$11</f>
        <v>0</v>
      </c>
      <c r="K130" s="36">
        <f>K$11</f>
        <v>0</v>
      </c>
      <c r="L130" s="36">
        <f>J130+K130</f>
        <v>0</v>
      </c>
      <c r="M130" s="95">
        <f>L130*H130</f>
        <v>0</v>
      </c>
    </row>
    <row r="131" spans="1:13" x14ac:dyDescent="0.2">
      <c r="A131" s="14" t="e">
        <f>IF(F131&lt;&gt;"",1+MAX(#REF!),"")</f>
        <v>#REF!</v>
      </c>
      <c r="B131" s="7" t="s">
        <v>41</v>
      </c>
      <c r="C131" s="150" t="s">
        <v>71</v>
      </c>
      <c r="D131" s="28"/>
      <c r="E131" s="94" t="s">
        <v>144</v>
      </c>
      <c r="F131" s="5">
        <f>3.14*3*3*0.25*4*1/27</f>
        <v>1.0466666666666666</v>
      </c>
      <c r="G131" s="16">
        <v>7.0000000000000007E-2</v>
      </c>
      <c r="H131" s="6">
        <f>F131*(1+G131)</f>
        <v>1.1199333333333334</v>
      </c>
      <c r="I131" s="7" t="s">
        <v>16</v>
      </c>
      <c r="J131" s="36">
        <f>J$12</f>
        <v>0</v>
      </c>
      <c r="K131" s="36">
        <f>K$12</f>
        <v>0</v>
      </c>
      <c r="L131" s="36">
        <f>J131+K131</f>
        <v>0</v>
      </c>
      <c r="M131" s="95">
        <f>L131*H131</f>
        <v>0</v>
      </c>
    </row>
    <row r="132" spans="1:13" x14ac:dyDescent="0.2">
      <c r="A132" s="14" t="e">
        <f>IF(F132&lt;&gt;"",1+MAX(#REF!),"")</f>
        <v>#REF!</v>
      </c>
      <c r="B132" s="7" t="s">
        <v>41</v>
      </c>
      <c r="C132" s="150" t="s">
        <v>71</v>
      </c>
      <c r="D132" s="28"/>
      <c r="E132" s="94" t="s">
        <v>19</v>
      </c>
      <c r="F132" s="5">
        <f>F131-F129</f>
        <v>0.58148148148148149</v>
      </c>
      <c r="G132" s="16">
        <v>7.0000000000000007E-2</v>
      </c>
      <c r="H132" s="6">
        <f>F132*(1+G132)</f>
        <v>0.62218518518518517</v>
      </c>
      <c r="I132" s="7" t="s">
        <v>16</v>
      </c>
      <c r="J132" s="36">
        <f t="shared" ref="J132:K132" si="9">J$13</f>
        <v>0</v>
      </c>
      <c r="K132" s="36">
        <f t="shared" si="9"/>
        <v>0</v>
      </c>
      <c r="L132" s="36">
        <f>J132+K132</f>
        <v>0</v>
      </c>
      <c r="M132" s="95">
        <f>L132*H132</f>
        <v>0</v>
      </c>
    </row>
    <row r="133" spans="1:13" x14ac:dyDescent="0.2">
      <c r="A133" s="14" t="str">
        <f>IF(F133&lt;&gt;"",1+MAX(#REF!),"")</f>
        <v/>
      </c>
      <c r="B133" s="7"/>
      <c r="C133" s="28"/>
      <c r="D133" s="28"/>
      <c r="E133" s="27"/>
      <c r="F133" s="5"/>
      <c r="G133" s="16"/>
      <c r="H133" s="6"/>
      <c r="I133" s="7"/>
      <c r="J133" s="36"/>
      <c r="K133" s="36"/>
      <c r="L133" s="97"/>
      <c r="M133" s="95"/>
    </row>
    <row r="134" spans="1:13" x14ac:dyDescent="0.2">
      <c r="A134" s="14" t="str">
        <f>IF(F134&lt;&gt;"",1+MAX(#REF!),"")</f>
        <v/>
      </c>
      <c r="B134" s="7"/>
      <c r="C134" s="28"/>
      <c r="D134" s="28"/>
      <c r="E134" s="92" t="s">
        <v>39</v>
      </c>
      <c r="F134" s="5"/>
      <c r="G134" s="16"/>
      <c r="H134" s="6"/>
      <c r="I134" s="7"/>
      <c r="J134" s="17"/>
      <c r="K134" s="17"/>
      <c r="L134" s="93"/>
      <c r="M134" s="149"/>
    </row>
    <row r="135" spans="1:13" ht="31.5" x14ac:dyDescent="0.2">
      <c r="A135" s="14" t="e">
        <f>IF(F135&lt;&gt;"",1+MAX(#REF!),"")</f>
        <v>#REF!</v>
      </c>
      <c r="B135" s="7" t="s">
        <v>41</v>
      </c>
      <c r="C135" s="28" t="s">
        <v>42</v>
      </c>
      <c r="D135" s="153">
        <f>H135*0.334/27</f>
        <v>111.50256</v>
      </c>
      <c r="E135" s="94" t="s">
        <v>135</v>
      </c>
      <c r="F135" s="5">
        <f>1661+300+6463</f>
        <v>8424</v>
      </c>
      <c r="G135" s="89">
        <v>7.0000000000000007E-2</v>
      </c>
      <c r="H135" s="6">
        <f>F135*(1+G135)</f>
        <v>9013.68</v>
      </c>
      <c r="I135" s="7" t="s">
        <v>43</v>
      </c>
      <c r="J135" s="36">
        <v>0</v>
      </c>
      <c r="K135" s="36">
        <v>0</v>
      </c>
      <c r="L135" s="36">
        <f>J135+K135</f>
        <v>0</v>
      </c>
      <c r="M135" s="95">
        <f>L135*H135</f>
        <v>0</v>
      </c>
    </row>
    <row r="136" spans="1:13" x14ac:dyDescent="0.2">
      <c r="A136" s="14" t="e">
        <f>IF(F136&lt;&gt;"",1+MAX(#REF!),"")</f>
        <v>#REF!</v>
      </c>
      <c r="B136" s="7" t="s">
        <v>41</v>
      </c>
      <c r="C136" s="28" t="s">
        <v>42</v>
      </c>
      <c r="D136" s="28"/>
      <c r="E136" s="94" t="s">
        <v>116</v>
      </c>
      <c r="F136" s="5">
        <f>338+294+2320</f>
        <v>2952</v>
      </c>
      <c r="G136" s="89">
        <v>7.0000000000000007E-2</v>
      </c>
      <c r="H136" s="6">
        <f>F136*(1+G136)</f>
        <v>3158.6400000000003</v>
      </c>
      <c r="I136" s="7" t="s">
        <v>44</v>
      </c>
      <c r="J136" s="36">
        <v>0</v>
      </c>
      <c r="K136" s="36">
        <v>0</v>
      </c>
      <c r="L136" s="36">
        <f>J136+K136</f>
        <v>0</v>
      </c>
      <c r="M136" s="95">
        <f>L136*H136</f>
        <v>0</v>
      </c>
    </row>
    <row r="137" spans="1:13" x14ac:dyDescent="0.2">
      <c r="A137" s="14" t="e">
        <f>IF(F137&lt;&gt;"",1+MAX(#REF!),"")</f>
        <v>#REF!</v>
      </c>
      <c r="B137" s="7" t="s">
        <v>41</v>
      </c>
      <c r="C137" s="28" t="s">
        <v>42</v>
      </c>
      <c r="D137" s="28"/>
      <c r="E137" s="94" t="s">
        <v>120</v>
      </c>
      <c r="F137" s="5">
        <f>0.16*F135</f>
        <v>1347.84</v>
      </c>
      <c r="G137" s="16">
        <v>7.0000000000000007E-2</v>
      </c>
      <c r="H137" s="6">
        <f>F137*(1+G137)</f>
        <v>1442.1887999999999</v>
      </c>
      <c r="I137" s="7" t="s">
        <v>44</v>
      </c>
      <c r="J137" s="36">
        <v>0</v>
      </c>
      <c r="K137" s="36">
        <v>0</v>
      </c>
      <c r="L137" s="36">
        <f>J137+K137</f>
        <v>0</v>
      </c>
      <c r="M137" s="95">
        <f>L137*H137</f>
        <v>0</v>
      </c>
    </row>
    <row r="138" spans="1:13" x14ac:dyDescent="0.2">
      <c r="A138" s="14" t="e">
        <f>IF(F138&lt;&gt;"",1+MAX(#REF!),"")</f>
        <v>#REF!</v>
      </c>
      <c r="B138" s="7" t="s">
        <v>41</v>
      </c>
      <c r="C138" s="28" t="s">
        <v>42</v>
      </c>
      <c r="D138" s="28"/>
      <c r="E138" s="94" t="s">
        <v>121</v>
      </c>
      <c r="F138" s="5">
        <f>F136</f>
        <v>2952</v>
      </c>
      <c r="G138" s="16">
        <v>7.0000000000000007E-2</v>
      </c>
      <c r="H138" s="6">
        <f>F138*(1+G138)</f>
        <v>3158.6400000000003</v>
      </c>
      <c r="I138" s="7" t="s">
        <v>44</v>
      </c>
      <c r="J138" s="36">
        <v>0</v>
      </c>
      <c r="K138" s="36">
        <v>0</v>
      </c>
      <c r="L138" s="36">
        <f>J138+K138</f>
        <v>0</v>
      </c>
      <c r="M138" s="95">
        <f>L138*H138</f>
        <v>0</v>
      </c>
    </row>
    <row r="139" spans="1:13" x14ac:dyDescent="0.2">
      <c r="A139" s="14" t="str">
        <f>IF(F139&lt;&gt;"",1+MAX(#REF!),"")</f>
        <v/>
      </c>
      <c r="B139" s="7"/>
      <c r="C139" s="28"/>
      <c r="D139" s="28"/>
      <c r="E139" s="27"/>
      <c r="F139" s="5"/>
      <c r="G139" s="16"/>
      <c r="H139" s="6"/>
      <c r="I139" s="7"/>
      <c r="J139" s="36"/>
      <c r="K139" s="36"/>
      <c r="L139" s="97"/>
      <c r="M139" s="95"/>
    </row>
    <row r="140" spans="1:13" x14ac:dyDescent="0.2">
      <c r="A140" s="14" t="str">
        <f>IF(F140&lt;&gt;"",1+MAX(#REF!),"")</f>
        <v/>
      </c>
      <c r="B140" s="7"/>
      <c r="C140" s="28"/>
      <c r="D140" s="28"/>
      <c r="E140" s="92" t="s">
        <v>45</v>
      </c>
      <c r="F140" s="5"/>
      <c r="G140" s="16"/>
      <c r="H140" s="6"/>
      <c r="I140" s="7"/>
      <c r="J140" s="17"/>
      <c r="K140" s="17"/>
      <c r="L140" s="93"/>
      <c r="M140" s="149"/>
    </row>
    <row r="141" spans="1:13" x14ac:dyDescent="0.2">
      <c r="A141" s="14" t="e">
        <f>IF(F141&lt;&gt;"",1+MAX(#REF!),"")</f>
        <v>#REF!</v>
      </c>
      <c r="B141" s="7" t="s">
        <v>41</v>
      </c>
      <c r="C141" s="28" t="s">
        <v>42</v>
      </c>
      <c r="D141" s="28"/>
      <c r="E141" s="94" t="s">
        <v>138</v>
      </c>
      <c r="F141" s="5">
        <f>1661+300</f>
        <v>1961</v>
      </c>
      <c r="G141" s="89">
        <v>7.0000000000000007E-2</v>
      </c>
      <c r="H141" s="6">
        <f>F141*(1+G141)</f>
        <v>2098.27</v>
      </c>
      <c r="I141" s="7" t="s">
        <v>43</v>
      </c>
      <c r="J141" s="36">
        <v>0</v>
      </c>
      <c r="K141" s="36">
        <v>0</v>
      </c>
      <c r="L141" s="36">
        <f>J141+K141</f>
        <v>0</v>
      </c>
      <c r="M141" s="95">
        <f>L141*H141</f>
        <v>0</v>
      </c>
    </row>
    <row r="142" spans="1:13" x14ac:dyDescent="0.2">
      <c r="A142" s="14" t="str">
        <f>IF(F142&lt;&gt;"",1+MAX(#REF!),"")</f>
        <v/>
      </c>
      <c r="B142" s="7"/>
      <c r="C142" s="28"/>
      <c r="D142" s="28"/>
      <c r="E142" s="27"/>
      <c r="F142" s="5"/>
      <c r="G142" s="16"/>
      <c r="H142" s="6"/>
      <c r="I142" s="7"/>
      <c r="J142" s="36"/>
      <c r="K142" s="36"/>
      <c r="L142" s="97"/>
      <c r="M142" s="95"/>
    </row>
    <row r="143" spans="1:13" x14ac:dyDescent="0.2">
      <c r="A143" s="14" t="str">
        <f>IF(F143&lt;&gt;"",1+MAX(#REF!),"")</f>
        <v/>
      </c>
      <c r="B143" s="7"/>
      <c r="C143" s="28"/>
      <c r="D143" s="28"/>
      <c r="E143" s="92" t="s">
        <v>66</v>
      </c>
      <c r="F143" s="5"/>
      <c r="G143" s="16"/>
      <c r="H143" s="6"/>
      <c r="I143" s="7"/>
      <c r="J143" s="17"/>
      <c r="K143" s="17"/>
      <c r="L143" s="93"/>
      <c r="M143" s="149"/>
    </row>
    <row r="144" spans="1:13" ht="63" x14ac:dyDescent="0.2">
      <c r="A144" s="14" t="str">
        <f>IF(F144&lt;&gt;"",1+MAX(#REF!),"")</f>
        <v/>
      </c>
      <c r="B144" s="7"/>
      <c r="C144" s="28"/>
      <c r="D144" s="28"/>
      <c r="E144" s="92" t="s">
        <v>128</v>
      </c>
      <c r="F144" s="5"/>
      <c r="G144" s="16"/>
      <c r="H144" s="6"/>
      <c r="I144" s="7"/>
      <c r="J144" s="17"/>
      <c r="K144" s="17"/>
      <c r="L144" s="93"/>
      <c r="M144" s="149"/>
    </row>
    <row r="145" spans="1:13" x14ac:dyDescent="0.2">
      <c r="A145" s="14" t="e">
        <f>IF(F145&lt;&gt;"",1+MAX(#REF!),"")</f>
        <v>#REF!</v>
      </c>
      <c r="B145" s="7" t="s">
        <v>36</v>
      </c>
      <c r="C145" s="28" t="s">
        <v>48</v>
      </c>
      <c r="D145" s="28"/>
      <c r="E145" s="94" t="s">
        <v>104</v>
      </c>
      <c r="F145" s="5">
        <f>45*3*1/27</f>
        <v>5</v>
      </c>
      <c r="G145" s="89">
        <v>7.0000000000000007E-2</v>
      </c>
      <c r="H145" s="6">
        <f t="shared" ref="H145:H151" si="10">F145*(1+G145)</f>
        <v>5.3500000000000005</v>
      </c>
      <c r="I145" s="7" t="s">
        <v>16</v>
      </c>
      <c r="J145" s="36">
        <f t="shared" ref="J145:K145" si="11">J$10</f>
        <v>0</v>
      </c>
      <c r="K145" s="36">
        <f t="shared" si="11"/>
        <v>0</v>
      </c>
      <c r="L145" s="36">
        <f t="shared" ref="L145:L151" si="12">J145+K145</f>
        <v>0</v>
      </c>
      <c r="M145" s="95">
        <f t="shared" ref="M145:M151" si="13">L145*H145</f>
        <v>0</v>
      </c>
    </row>
    <row r="146" spans="1:13" x14ac:dyDescent="0.2">
      <c r="A146" s="14" t="e">
        <f>IF(F146&lt;&gt;"",1+MAX(#REF!),"")</f>
        <v>#REF!</v>
      </c>
      <c r="B146" s="7" t="s">
        <v>36</v>
      </c>
      <c r="C146" s="28" t="s">
        <v>48</v>
      </c>
      <c r="D146" s="28"/>
      <c r="E146" s="94" t="s">
        <v>67</v>
      </c>
      <c r="F146" s="5">
        <f>4*45*1.043*1.2*2</f>
        <v>450.57599999999996</v>
      </c>
      <c r="G146" s="89">
        <v>7.0000000000000007E-2</v>
      </c>
      <c r="H146" s="6">
        <f t="shared" si="10"/>
        <v>482.11631999999997</v>
      </c>
      <c r="I146" s="7" t="s">
        <v>17</v>
      </c>
      <c r="J146" s="36">
        <v>0</v>
      </c>
      <c r="K146" s="36">
        <v>0</v>
      </c>
      <c r="L146" s="36">
        <f t="shared" si="12"/>
        <v>0</v>
      </c>
      <c r="M146" s="95">
        <f t="shared" si="13"/>
        <v>0</v>
      </c>
    </row>
    <row r="147" spans="1:13" x14ac:dyDescent="0.2">
      <c r="A147" s="14" t="e">
        <f>IF(F147&lt;&gt;"",1+MAX(#REF!),"")</f>
        <v>#REF!</v>
      </c>
      <c r="B147" s="7" t="s">
        <v>36</v>
      </c>
      <c r="C147" s="28" t="s">
        <v>48</v>
      </c>
      <c r="D147" s="28"/>
      <c r="E147" s="94" t="s">
        <v>139</v>
      </c>
      <c r="F147" s="5">
        <f>45/1.5*3*1.043*1.2*2</f>
        <v>225.28799999999998</v>
      </c>
      <c r="G147" s="89">
        <v>7.0000000000000007E-2</v>
      </c>
      <c r="H147" s="6">
        <f t="shared" si="10"/>
        <v>241.05815999999999</v>
      </c>
      <c r="I147" s="7" t="s">
        <v>17</v>
      </c>
      <c r="J147" s="36">
        <f t="shared" ref="J147:K148" si="14">J$41</f>
        <v>0</v>
      </c>
      <c r="K147" s="36">
        <f t="shared" si="14"/>
        <v>0</v>
      </c>
      <c r="L147" s="36">
        <f t="shared" si="12"/>
        <v>0</v>
      </c>
      <c r="M147" s="95">
        <f t="shared" si="13"/>
        <v>0</v>
      </c>
    </row>
    <row r="148" spans="1:13" x14ac:dyDescent="0.2">
      <c r="A148" s="14" t="e">
        <f>IF(F148&lt;&gt;"",1+MAX(#REF!),"")</f>
        <v>#REF!</v>
      </c>
      <c r="B148" s="7" t="s">
        <v>36</v>
      </c>
      <c r="C148" s="28" t="s">
        <v>48</v>
      </c>
      <c r="D148" s="28"/>
      <c r="E148" s="94" t="s">
        <v>68</v>
      </c>
      <c r="F148" s="5">
        <f>45/2.67*3.5*1.043*1.2</f>
        <v>73.830337078651681</v>
      </c>
      <c r="G148" s="89">
        <v>7.0000000000000007E-2</v>
      </c>
      <c r="H148" s="6">
        <f t="shared" si="10"/>
        <v>78.9984606741573</v>
      </c>
      <c r="I148" s="7" t="s">
        <v>17</v>
      </c>
      <c r="J148" s="36">
        <f t="shared" si="14"/>
        <v>0</v>
      </c>
      <c r="K148" s="36">
        <f t="shared" si="14"/>
        <v>0</v>
      </c>
      <c r="L148" s="36">
        <f t="shared" si="12"/>
        <v>0</v>
      </c>
      <c r="M148" s="95">
        <f t="shared" si="13"/>
        <v>0</v>
      </c>
    </row>
    <row r="149" spans="1:13" x14ac:dyDescent="0.2">
      <c r="A149" s="14" t="e">
        <f>IF(F149&lt;&gt;"",1+MAX(#REF!),"")</f>
        <v>#REF!</v>
      </c>
      <c r="B149" s="7" t="s">
        <v>36</v>
      </c>
      <c r="C149" s="28" t="s">
        <v>48</v>
      </c>
      <c r="D149" s="28"/>
      <c r="E149" s="94" t="s">
        <v>143</v>
      </c>
      <c r="F149" s="5">
        <f>45*1*2</f>
        <v>90</v>
      </c>
      <c r="G149" s="16">
        <v>7.0000000000000007E-2</v>
      </c>
      <c r="H149" s="6">
        <f t="shared" si="10"/>
        <v>96.300000000000011</v>
      </c>
      <c r="I149" s="7" t="s">
        <v>18</v>
      </c>
      <c r="J149" s="36">
        <v>0</v>
      </c>
      <c r="K149" s="36">
        <v>0</v>
      </c>
      <c r="L149" s="36">
        <f t="shared" si="12"/>
        <v>0</v>
      </c>
      <c r="M149" s="95">
        <f t="shared" si="13"/>
        <v>0</v>
      </c>
    </row>
    <row r="150" spans="1:13" x14ac:dyDescent="0.2">
      <c r="A150" s="14" t="e">
        <f>IF(F150&lt;&gt;"",1+MAX(#REF!),"")</f>
        <v>#REF!</v>
      </c>
      <c r="B150" s="7" t="s">
        <v>36</v>
      </c>
      <c r="C150" s="28" t="s">
        <v>48</v>
      </c>
      <c r="D150" s="28"/>
      <c r="E150" s="94" t="s">
        <v>144</v>
      </c>
      <c r="F150" s="5">
        <f>45*4*1.5/27</f>
        <v>10</v>
      </c>
      <c r="G150" s="16">
        <v>7.0000000000000007E-2</v>
      </c>
      <c r="H150" s="6">
        <f t="shared" si="10"/>
        <v>10.700000000000001</v>
      </c>
      <c r="I150" s="7" t="s">
        <v>16</v>
      </c>
      <c r="J150" s="36">
        <f>J$12</f>
        <v>0</v>
      </c>
      <c r="K150" s="36">
        <f>K$12</f>
        <v>0</v>
      </c>
      <c r="L150" s="36">
        <f t="shared" si="12"/>
        <v>0</v>
      </c>
      <c r="M150" s="95">
        <f t="shared" si="13"/>
        <v>0</v>
      </c>
    </row>
    <row r="151" spans="1:13" x14ac:dyDescent="0.2">
      <c r="A151" s="14" t="e">
        <f>IF(F151&lt;&gt;"",1+MAX(#REF!),"")</f>
        <v>#REF!</v>
      </c>
      <c r="B151" s="7" t="s">
        <v>36</v>
      </c>
      <c r="C151" s="28" t="s">
        <v>48</v>
      </c>
      <c r="D151" s="28"/>
      <c r="E151" s="94" t="s">
        <v>19</v>
      </c>
      <c r="F151" s="5">
        <f>F150-F145</f>
        <v>5</v>
      </c>
      <c r="G151" s="16">
        <v>7.0000000000000007E-2</v>
      </c>
      <c r="H151" s="6">
        <f t="shared" si="10"/>
        <v>5.3500000000000005</v>
      </c>
      <c r="I151" s="7" t="s">
        <v>16</v>
      </c>
      <c r="J151" s="36">
        <f t="shared" ref="J151:K151" si="15">J$13</f>
        <v>0</v>
      </c>
      <c r="K151" s="36">
        <f t="shared" si="15"/>
        <v>0</v>
      </c>
      <c r="L151" s="36">
        <f t="shared" si="12"/>
        <v>0</v>
      </c>
      <c r="M151" s="95">
        <f t="shared" si="13"/>
        <v>0</v>
      </c>
    </row>
    <row r="152" spans="1:13" x14ac:dyDescent="0.2">
      <c r="A152" s="14" t="str">
        <f>IF(F152&lt;&gt;"",1+MAX(#REF!),"")</f>
        <v/>
      </c>
      <c r="B152" s="7"/>
      <c r="C152" s="28"/>
      <c r="D152" s="28"/>
      <c r="E152" s="27"/>
      <c r="F152" s="5"/>
      <c r="G152" s="16"/>
      <c r="H152" s="6"/>
      <c r="I152" s="7"/>
      <c r="J152" s="36"/>
      <c r="K152" s="36"/>
      <c r="L152" s="97"/>
      <c r="M152" s="95"/>
    </row>
    <row r="153" spans="1:13" x14ac:dyDescent="0.2">
      <c r="A153" s="14" t="str">
        <f>IF(F153&lt;&gt;"",1+MAX(#REF!),"")</f>
        <v/>
      </c>
      <c r="B153" s="7"/>
      <c r="C153" s="28"/>
      <c r="D153" s="28"/>
      <c r="E153" s="92" t="s">
        <v>62</v>
      </c>
      <c r="F153" s="5"/>
      <c r="G153" s="16"/>
      <c r="H153" s="6"/>
      <c r="I153" s="7"/>
      <c r="J153" s="17"/>
      <c r="K153" s="17"/>
      <c r="L153" s="93"/>
      <c r="M153" s="149"/>
    </row>
    <row r="154" spans="1:13" x14ac:dyDescent="0.2">
      <c r="A154" s="14" t="e">
        <f>IF(F154&lt;&gt;"",1+MAX(#REF!),"")</f>
        <v>#REF!</v>
      </c>
      <c r="B154" s="7" t="s">
        <v>36</v>
      </c>
      <c r="C154" s="28" t="s">
        <v>69</v>
      </c>
      <c r="D154" s="28"/>
      <c r="E154" s="94" t="s">
        <v>104</v>
      </c>
      <c r="F154" s="5">
        <f>84*1.5*1/27</f>
        <v>4.666666666666667</v>
      </c>
      <c r="G154" s="89">
        <v>7.0000000000000007E-2</v>
      </c>
      <c r="H154" s="6">
        <f t="shared" ref="H154:H159" si="16">F154*(1+G154)</f>
        <v>4.9933333333333341</v>
      </c>
      <c r="I154" s="7" t="s">
        <v>16</v>
      </c>
      <c r="J154" s="36">
        <f t="shared" ref="J154:K154" si="17">J$10</f>
        <v>0</v>
      </c>
      <c r="K154" s="36">
        <f t="shared" si="17"/>
        <v>0</v>
      </c>
      <c r="L154" s="36">
        <f t="shared" ref="L154:L159" si="18">J154+K154</f>
        <v>0</v>
      </c>
      <c r="M154" s="95">
        <f t="shared" ref="M154:M159" si="19">L154*H154</f>
        <v>0</v>
      </c>
    </row>
    <row r="155" spans="1:13" x14ac:dyDescent="0.2">
      <c r="A155" s="14" t="e">
        <f>IF(F155&lt;&gt;"",1+MAX(#REF!),"")</f>
        <v>#REF!</v>
      </c>
      <c r="B155" s="7" t="s">
        <v>36</v>
      </c>
      <c r="C155" s="28" t="s">
        <v>69</v>
      </c>
      <c r="D155" s="28"/>
      <c r="E155" s="94" t="s">
        <v>124</v>
      </c>
      <c r="F155" s="5">
        <f>84*1</f>
        <v>84</v>
      </c>
      <c r="G155" s="89">
        <v>7.0000000000000007E-2</v>
      </c>
      <c r="H155" s="6">
        <f t="shared" si="16"/>
        <v>89.88000000000001</v>
      </c>
      <c r="I155" s="7" t="s">
        <v>18</v>
      </c>
      <c r="J155" s="36">
        <f t="shared" ref="J155:K155" si="20">J$44</f>
        <v>0</v>
      </c>
      <c r="K155" s="36">
        <f t="shared" si="20"/>
        <v>0</v>
      </c>
      <c r="L155" s="36">
        <f t="shared" si="18"/>
        <v>0</v>
      </c>
      <c r="M155" s="95">
        <f t="shared" si="19"/>
        <v>0</v>
      </c>
    </row>
    <row r="156" spans="1:13" x14ac:dyDescent="0.2">
      <c r="A156" s="14" t="e">
        <f>IF(F156&lt;&gt;"",1+MAX(#REF!),"")</f>
        <v>#REF!</v>
      </c>
      <c r="B156" s="7" t="s">
        <v>36</v>
      </c>
      <c r="C156" s="28" t="s">
        <v>69</v>
      </c>
      <c r="D156" s="28"/>
      <c r="E156" s="94" t="s">
        <v>63</v>
      </c>
      <c r="F156" s="5">
        <f>2*84*1.043*1.2</f>
        <v>210.26879999999997</v>
      </c>
      <c r="G156" s="16">
        <v>7.0000000000000007E-2</v>
      </c>
      <c r="H156" s="6">
        <f t="shared" si="16"/>
        <v>224.98761599999997</v>
      </c>
      <c r="I156" s="7" t="s">
        <v>17</v>
      </c>
      <c r="J156" s="36">
        <f t="shared" ref="J156:K157" si="21">J$41</f>
        <v>0</v>
      </c>
      <c r="K156" s="36">
        <f t="shared" si="21"/>
        <v>0</v>
      </c>
      <c r="L156" s="36">
        <f t="shared" si="18"/>
        <v>0</v>
      </c>
      <c r="M156" s="95">
        <f t="shared" si="19"/>
        <v>0</v>
      </c>
    </row>
    <row r="157" spans="1:13" x14ac:dyDescent="0.2">
      <c r="A157" s="14" t="e">
        <f>IF(F157&lt;&gt;"",1+MAX(#REF!),"")</f>
        <v>#REF!</v>
      </c>
      <c r="B157" s="7" t="s">
        <v>36</v>
      </c>
      <c r="C157" s="28" t="s">
        <v>69</v>
      </c>
      <c r="D157" s="28"/>
      <c r="E157" s="94" t="s">
        <v>140</v>
      </c>
      <c r="F157" s="5">
        <f>84*1*1.043*1.2</f>
        <v>105.13439999999999</v>
      </c>
      <c r="G157" s="16">
        <v>7.0000000000000007E-2</v>
      </c>
      <c r="H157" s="6">
        <f t="shared" si="16"/>
        <v>112.49380799999999</v>
      </c>
      <c r="I157" s="7" t="s">
        <v>17</v>
      </c>
      <c r="J157" s="36">
        <f t="shared" si="21"/>
        <v>0</v>
      </c>
      <c r="K157" s="36">
        <f t="shared" si="21"/>
        <v>0</v>
      </c>
      <c r="L157" s="36">
        <f t="shared" si="18"/>
        <v>0</v>
      </c>
      <c r="M157" s="95">
        <f t="shared" si="19"/>
        <v>0</v>
      </c>
    </row>
    <row r="158" spans="1:13" x14ac:dyDescent="0.2">
      <c r="A158" s="14" t="e">
        <f>IF(F158&lt;&gt;"",1+MAX(#REF!),"")</f>
        <v>#REF!</v>
      </c>
      <c r="B158" s="7" t="s">
        <v>36</v>
      </c>
      <c r="C158" s="28" t="s">
        <v>69</v>
      </c>
      <c r="D158" s="28"/>
      <c r="E158" s="94" t="s">
        <v>144</v>
      </c>
      <c r="F158" s="5">
        <f>84*2*1/27</f>
        <v>6.2222222222222223</v>
      </c>
      <c r="G158" s="16">
        <v>7.0000000000000007E-2</v>
      </c>
      <c r="H158" s="6">
        <f t="shared" si="16"/>
        <v>6.6577777777777785</v>
      </c>
      <c r="I158" s="7" t="s">
        <v>16</v>
      </c>
      <c r="J158" s="36">
        <f>J$12</f>
        <v>0</v>
      </c>
      <c r="K158" s="36">
        <f>K$12</f>
        <v>0</v>
      </c>
      <c r="L158" s="36">
        <f t="shared" si="18"/>
        <v>0</v>
      </c>
      <c r="M158" s="95">
        <f t="shared" si="19"/>
        <v>0</v>
      </c>
    </row>
    <row r="159" spans="1:13" x14ac:dyDescent="0.2">
      <c r="A159" s="14" t="e">
        <f>IF(F159&lt;&gt;"",1+MAX(#REF!),"")</f>
        <v>#REF!</v>
      </c>
      <c r="B159" s="7" t="s">
        <v>36</v>
      </c>
      <c r="C159" s="28" t="s">
        <v>69</v>
      </c>
      <c r="D159" s="28"/>
      <c r="E159" s="94" t="s">
        <v>19</v>
      </c>
      <c r="F159" s="5">
        <f>F158-F154</f>
        <v>1.5555555555555554</v>
      </c>
      <c r="G159" s="16">
        <v>7.0000000000000007E-2</v>
      </c>
      <c r="H159" s="6">
        <f t="shared" si="16"/>
        <v>1.6644444444444444</v>
      </c>
      <c r="I159" s="7" t="s">
        <v>16</v>
      </c>
      <c r="J159" s="36">
        <f t="shared" ref="J159:K159" si="22">J$13</f>
        <v>0</v>
      </c>
      <c r="K159" s="36">
        <f t="shared" si="22"/>
        <v>0</v>
      </c>
      <c r="L159" s="36">
        <f t="shared" si="18"/>
        <v>0</v>
      </c>
      <c r="M159" s="95">
        <f t="shared" si="19"/>
        <v>0</v>
      </c>
    </row>
    <row r="160" spans="1:13" x14ac:dyDescent="0.2">
      <c r="A160" s="14" t="str">
        <f>IF(F160&lt;&gt;"",1+MAX(#REF!),"")</f>
        <v/>
      </c>
      <c r="B160" s="7"/>
      <c r="C160" s="28"/>
      <c r="D160" s="28"/>
      <c r="E160" s="27"/>
      <c r="F160" s="5"/>
      <c r="G160" s="16"/>
      <c r="H160" s="6"/>
      <c r="I160" s="7"/>
      <c r="J160" s="36"/>
      <c r="K160" s="36"/>
      <c r="L160" s="97"/>
      <c r="M160" s="95"/>
    </row>
    <row r="161" spans="1:13" x14ac:dyDescent="0.2">
      <c r="A161" s="14" t="str">
        <f>IF(F161&lt;&gt;"",1+MAX(#REF!),"")</f>
        <v/>
      </c>
      <c r="B161" s="7"/>
      <c r="C161" s="28"/>
      <c r="D161" s="28"/>
      <c r="E161" s="92" t="s">
        <v>70</v>
      </c>
      <c r="F161" s="5"/>
      <c r="G161" s="16"/>
      <c r="H161" s="6"/>
      <c r="I161" s="7"/>
      <c r="J161" s="17"/>
      <c r="K161" s="17"/>
      <c r="L161" s="93"/>
      <c r="M161" s="149"/>
    </row>
    <row r="162" spans="1:13" x14ac:dyDescent="0.2">
      <c r="A162" s="14" t="str">
        <f>IF(F162&lt;&gt;"",1+MAX(#REF!),"")</f>
        <v/>
      </c>
      <c r="B162" s="7"/>
      <c r="C162" s="28"/>
      <c r="D162" s="28"/>
      <c r="E162" s="92" t="s">
        <v>145</v>
      </c>
      <c r="F162" s="5"/>
      <c r="G162" s="16"/>
      <c r="H162" s="6"/>
      <c r="I162" s="7"/>
      <c r="J162" s="17"/>
      <c r="K162" s="17"/>
      <c r="L162" s="93"/>
      <c r="M162" s="149"/>
    </row>
    <row r="163" spans="1:13" x14ac:dyDescent="0.2">
      <c r="A163" s="14" t="e">
        <f>IF(F163&lt;&gt;"",1+MAX(#REF!),"")</f>
        <v>#REF!</v>
      </c>
      <c r="B163" s="7" t="s">
        <v>36</v>
      </c>
      <c r="C163" s="28" t="s">
        <v>48</v>
      </c>
      <c r="D163" s="153">
        <f>H163*0.67/27</f>
        <v>9.1603888888888907</v>
      </c>
      <c r="E163" s="94" t="s">
        <v>146</v>
      </c>
      <c r="F163" s="5">
        <v>345</v>
      </c>
      <c r="G163" s="89">
        <v>7.0000000000000007E-2</v>
      </c>
      <c r="H163" s="6">
        <f t="shared" ref="H163:H169" si="23">F163*(1+G163)</f>
        <v>369.15000000000003</v>
      </c>
      <c r="I163" s="7" t="s">
        <v>43</v>
      </c>
      <c r="J163" s="36">
        <v>0</v>
      </c>
      <c r="K163" s="36">
        <v>0</v>
      </c>
      <c r="L163" s="36">
        <f t="shared" ref="L163:L169" si="24">J163+K163</f>
        <v>0</v>
      </c>
      <c r="M163" s="95">
        <f t="shared" ref="M163:M169" si="25">L163*H163</f>
        <v>0</v>
      </c>
    </row>
    <row r="164" spans="1:13" x14ac:dyDescent="0.2">
      <c r="A164" s="14" t="e">
        <f>IF(F164&lt;&gt;"",1+MAX(#REF!),"")</f>
        <v>#REF!</v>
      </c>
      <c r="B164" s="7" t="s">
        <v>36</v>
      </c>
      <c r="C164" s="28" t="s">
        <v>48</v>
      </c>
      <c r="D164" s="28"/>
      <c r="E164" s="94" t="s">
        <v>136</v>
      </c>
      <c r="F164" s="5">
        <v>110</v>
      </c>
      <c r="G164" s="89">
        <v>7.0000000000000007E-2</v>
      </c>
      <c r="H164" s="6">
        <f t="shared" si="23"/>
        <v>117.7</v>
      </c>
      <c r="I164" s="7" t="s">
        <v>44</v>
      </c>
      <c r="J164" s="36">
        <v>0</v>
      </c>
      <c r="K164" s="36">
        <v>0</v>
      </c>
      <c r="L164" s="36">
        <f t="shared" si="24"/>
        <v>0</v>
      </c>
      <c r="M164" s="95">
        <f t="shared" si="25"/>
        <v>0</v>
      </c>
    </row>
    <row r="165" spans="1:13" x14ac:dyDescent="0.2">
      <c r="A165" s="14" t="e">
        <f>IF(F165&lt;&gt;"",1+MAX(#REF!),"")</f>
        <v>#REF!</v>
      </c>
      <c r="B165" s="7" t="s">
        <v>36</v>
      </c>
      <c r="C165" s="28" t="s">
        <v>48</v>
      </c>
      <c r="D165" s="28"/>
      <c r="E165" s="94" t="s">
        <v>141</v>
      </c>
      <c r="F165" s="5">
        <f>1.043*1.2*2*F163</f>
        <v>863.60399999999993</v>
      </c>
      <c r="G165" s="16">
        <v>7.0000000000000007E-2</v>
      </c>
      <c r="H165" s="6">
        <f t="shared" si="23"/>
        <v>924.05628000000002</v>
      </c>
      <c r="I165" s="7" t="s">
        <v>17</v>
      </c>
      <c r="J165" s="36">
        <f t="shared" ref="J165:K165" si="26">J$41</f>
        <v>0</v>
      </c>
      <c r="K165" s="36">
        <f t="shared" si="26"/>
        <v>0</v>
      </c>
      <c r="L165" s="36">
        <f t="shared" si="24"/>
        <v>0</v>
      </c>
      <c r="M165" s="95">
        <f t="shared" si="25"/>
        <v>0</v>
      </c>
    </row>
    <row r="166" spans="1:13" x14ac:dyDescent="0.2">
      <c r="A166" s="14" t="e">
        <f>IF(F166&lt;&gt;"",1+MAX(#REF!),"")</f>
        <v>#REF!</v>
      </c>
      <c r="B166" s="7" t="s">
        <v>36</v>
      </c>
      <c r="C166" s="28" t="s">
        <v>71</v>
      </c>
      <c r="D166" s="28"/>
      <c r="E166" s="94" t="s">
        <v>118</v>
      </c>
      <c r="F166" s="5">
        <f>F165*0.33/27</f>
        <v>10.555159999999999</v>
      </c>
      <c r="G166" s="16">
        <v>7.0000000000000007E-2</v>
      </c>
      <c r="H166" s="6">
        <f t="shared" si="23"/>
        <v>11.2940212</v>
      </c>
      <c r="I166" s="7" t="s">
        <v>16</v>
      </c>
      <c r="J166" s="36">
        <v>0</v>
      </c>
      <c r="K166" s="36">
        <v>0</v>
      </c>
      <c r="L166" s="36">
        <f t="shared" si="24"/>
        <v>0</v>
      </c>
      <c r="M166" s="95">
        <f t="shared" si="25"/>
        <v>0</v>
      </c>
    </row>
    <row r="167" spans="1:13" x14ac:dyDescent="0.2">
      <c r="A167" s="14" t="e">
        <f>IF(F167&lt;&gt;"",1+MAX(#REF!),"")</f>
        <v>#REF!</v>
      </c>
      <c r="B167" s="7" t="s">
        <v>36</v>
      </c>
      <c r="C167" s="28" t="s">
        <v>48</v>
      </c>
      <c r="D167" s="28"/>
      <c r="E167" s="94" t="s">
        <v>119</v>
      </c>
      <c r="F167" s="5">
        <f>F163</f>
        <v>345</v>
      </c>
      <c r="G167" s="16">
        <v>7.0000000000000007E-2</v>
      </c>
      <c r="H167" s="6">
        <f t="shared" si="23"/>
        <v>369.15000000000003</v>
      </c>
      <c r="I167" s="7" t="s">
        <v>43</v>
      </c>
      <c r="J167" s="36">
        <v>0</v>
      </c>
      <c r="K167" s="36">
        <v>0</v>
      </c>
      <c r="L167" s="36">
        <f t="shared" si="24"/>
        <v>0</v>
      </c>
      <c r="M167" s="95">
        <f t="shared" si="25"/>
        <v>0</v>
      </c>
    </row>
    <row r="168" spans="1:13" x14ac:dyDescent="0.2">
      <c r="A168" s="14" t="e">
        <f>IF(F168&lt;&gt;"",1+MAX(#REF!),"")</f>
        <v>#REF!</v>
      </c>
      <c r="B168" s="7" t="s">
        <v>36</v>
      </c>
      <c r="C168" s="28" t="s">
        <v>48</v>
      </c>
      <c r="D168" s="28"/>
      <c r="E168" s="94" t="s">
        <v>120</v>
      </c>
      <c r="F168" s="5">
        <f>0.16*F165</f>
        <v>138.17663999999999</v>
      </c>
      <c r="G168" s="16">
        <v>7.0000000000000007E-2</v>
      </c>
      <c r="H168" s="6">
        <f t="shared" si="23"/>
        <v>147.84900479999999</v>
      </c>
      <c r="I168" s="7" t="s">
        <v>44</v>
      </c>
      <c r="J168" s="36">
        <f t="shared" ref="J168:K168" si="27">J$32</f>
        <v>0</v>
      </c>
      <c r="K168" s="36">
        <f t="shared" si="27"/>
        <v>0</v>
      </c>
      <c r="L168" s="36">
        <f t="shared" si="24"/>
        <v>0</v>
      </c>
      <c r="M168" s="95">
        <f t="shared" si="25"/>
        <v>0</v>
      </c>
    </row>
    <row r="169" spans="1:13" x14ac:dyDescent="0.2">
      <c r="A169" s="14" t="e">
        <f>IF(F169&lt;&gt;"",1+MAX(#REF!),"")</f>
        <v>#REF!</v>
      </c>
      <c r="B169" s="7" t="s">
        <v>36</v>
      </c>
      <c r="C169" s="28" t="s">
        <v>48</v>
      </c>
      <c r="D169" s="28"/>
      <c r="E169" s="94" t="s">
        <v>121</v>
      </c>
      <c r="F169" s="5">
        <f>F164</f>
        <v>110</v>
      </c>
      <c r="G169" s="16">
        <v>7.0000000000000007E-2</v>
      </c>
      <c r="H169" s="6">
        <f t="shared" si="23"/>
        <v>117.7</v>
      </c>
      <c r="I169" s="7" t="s">
        <v>44</v>
      </c>
      <c r="J169" s="36">
        <f t="shared" ref="J169:K169" si="28">J$33</f>
        <v>0</v>
      </c>
      <c r="K169" s="36">
        <f t="shared" si="28"/>
        <v>0</v>
      </c>
      <c r="L169" s="36">
        <f t="shared" si="24"/>
        <v>0</v>
      </c>
      <c r="M169" s="95">
        <f t="shared" si="25"/>
        <v>0</v>
      </c>
    </row>
    <row r="170" spans="1:13" x14ac:dyDescent="0.2">
      <c r="A170" s="14" t="str">
        <f>IF(F170&lt;&gt;"",1+MAX(#REF!),"")</f>
        <v/>
      </c>
      <c r="B170" s="7"/>
      <c r="C170" s="28"/>
      <c r="D170" s="28"/>
      <c r="E170" s="92" t="s">
        <v>153</v>
      </c>
      <c r="F170" s="5"/>
      <c r="G170" s="16"/>
      <c r="H170" s="6"/>
      <c r="I170" s="7"/>
      <c r="J170" s="17"/>
      <c r="K170" s="17"/>
      <c r="L170" s="93"/>
      <c r="M170" s="149"/>
    </row>
    <row r="171" spans="1:13" x14ac:dyDescent="0.2">
      <c r="A171" s="14" t="e">
        <f>IF(F171&lt;&gt;"",1+MAX(#REF!),"")</f>
        <v>#REF!</v>
      </c>
      <c r="B171" s="7" t="s">
        <v>36</v>
      </c>
      <c r="C171" s="28" t="s">
        <v>48</v>
      </c>
      <c r="D171" s="153">
        <f>H171*0.5/27</f>
        <v>10.700000000000001</v>
      </c>
      <c r="E171" s="94" t="s">
        <v>152</v>
      </c>
      <c r="F171" s="5">
        <v>540</v>
      </c>
      <c r="G171" s="89">
        <v>7.0000000000000007E-2</v>
      </c>
      <c r="H171" s="6">
        <f t="shared" ref="H171:H178" si="29">F171*(1+G171)</f>
        <v>577.80000000000007</v>
      </c>
      <c r="I171" s="7" t="s">
        <v>43</v>
      </c>
      <c r="J171" s="36">
        <v>0</v>
      </c>
      <c r="K171" s="36">
        <v>0</v>
      </c>
      <c r="L171" s="36">
        <f t="shared" ref="L171:L178" si="30">J171+K171</f>
        <v>0</v>
      </c>
      <c r="M171" s="95">
        <f t="shared" ref="M171:M178" si="31">L171*H171</f>
        <v>0</v>
      </c>
    </row>
    <row r="172" spans="1:13" x14ac:dyDescent="0.2">
      <c r="A172" s="14" t="e">
        <f>IF(F172&lt;&gt;"",1+MAX(#REF!),"")</f>
        <v>#REF!</v>
      </c>
      <c r="B172" s="7" t="s">
        <v>36</v>
      </c>
      <c r="C172" s="28" t="s">
        <v>48</v>
      </c>
      <c r="D172" s="28"/>
      <c r="E172" s="94" t="s">
        <v>137</v>
      </c>
      <c r="F172" s="5">
        <v>100</v>
      </c>
      <c r="G172" s="89">
        <v>7.0000000000000007E-2</v>
      </c>
      <c r="H172" s="6">
        <f t="shared" si="29"/>
        <v>107</v>
      </c>
      <c r="I172" s="7" t="s">
        <v>44</v>
      </c>
      <c r="J172" s="36">
        <v>0</v>
      </c>
      <c r="K172" s="36">
        <v>0</v>
      </c>
      <c r="L172" s="36">
        <f t="shared" si="30"/>
        <v>0</v>
      </c>
      <c r="M172" s="95">
        <f t="shared" si="31"/>
        <v>0</v>
      </c>
    </row>
    <row r="173" spans="1:13" x14ac:dyDescent="0.2">
      <c r="A173" s="14" t="e">
        <f>IF(F173&lt;&gt;"",1+MAX(#REF!),"")</f>
        <v>#REF!</v>
      </c>
      <c r="B173" s="7" t="s">
        <v>36</v>
      </c>
      <c r="C173" s="28" t="s">
        <v>48</v>
      </c>
      <c r="D173" s="28"/>
      <c r="E173" s="94" t="s">
        <v>141</v>
      </c>
      <c r="F173" s="5">
        <f>1.043*1.2*2*F171</f>
        <v>1351.7279999999998</v>
      </c>
      <c r="G173" s="16">
        <v>7.0000000000000007E-2</v>
      </c>
      <c r="H173" s="6">
        <f t="shared" si="29"/>
        <v>1446.3489599999998</v>
      </c>
      <c r="I173" s="7" t="s">
        <v>17</v>
      </c>
      <c r="J173" s="36">
        <f t="shared" ref="J173:K173" si="32">J$41</f>
        <v>0</v>
      </c>
      <c r="K173" s="36">
        <f t="shared" si="32"/>
        <v>0</v>
      </c>
      <c r="L173" s="36">
        <f t="shared" si="30"/>
        <v>0</v>
      </c>
      <c r="M173" s="95">
        <f t="shared" si="31"/>
        <v>0</v>
      </c>
    </row>
    <row r="174" spans="1:13" x14ac:dyDescent="0.2">
      <c r="A174" s="14" t="e">
        <f>IF(F174&lt;&gt;"",1+MAX(#REF!),"")</f>
        <v>#REF!</v>
      </c>
      <c r="B174" s="7" t="s">
        <v>36</v>
      </c>
      <c r="C174" s="150" t="s">
        <v>71</v>
      </c>
      <c r="D174" s="28"/>
      <c r="E174" s="94" t="s">
        <v>118</v>
      </c>
      <c r="F174" s="5">
        <f>F173*0.33/27</f>
        <v>16.52112</v>
      </c>
      <c r="G174" s="16">
        <v>7.0000000000000007E-2</v>
      </c>
      <c r="H174" s="6">
        <f t="shared" si="29"/>
        <v>17.677598400000001</v>
      </c>
      <c r="I174" s="7" t="s">
        <v>16</v>
      </c>
      <c r="J174" s="36">
        <f t="shared" ref="J174:K174" si="33">J$61</f>
        <v>0</v>
      </c>
      <c r="K174" s="36">
        <f t="shared" si="33"/>
        <v>0</v>
      </c>
      <c r="L174" s="36">
        <f t="shared" si="30"/>
        <v>0</v>
      </c>
      <c r="M174" s="95">
        <f t="shared" si="31"/>
        <v>0</v>
      </c>
    </row>
    <row r="175" spans="1:13" x14ac:dyDescent="0.2">
      <c r="A175" s="14" t="e">
        <f>IF(F175&lt;&gt;"",1+MAX(#REF!),"")</f>
        <v>#REF!</v>
      </c>
      <c r="B175" s="7" t="s">
        <v>36</v>
      </c>
      <c r="C175" s="28" t="s">
        <v>48</v>
      </c>
      <c r="D175" s="28"/>
      <c r="E175" s="94" t="s">
        <v>119</v>
      </c>
      <c r="F175" s="5">
        <f>F171</f>
        <v>540</v>
      </c>
      <c r="G175" s="16">
        <v>7.0000000000000007E-2</v>
      </c>
      <c r="H175" s="6">
        <f t="shared" si="29"/>
        <v>577.80000000000007</v>
      </c>
      <c r="I175" s="7" t="s">
        <v>43</v>
      </c>
      <c r="J175" s="36">
        <f t="shared" ref="J175:K175" si="34">J$62</f>
        <v>0</v>
      </c>
      <c r="K175" s="36">
        <f t="shared" si="34"/>
        <v>0</v>
      </c>
      <c r="L175" s="36">
        <f t="shared" si="30"/>
        <v>0</v>
      </c>
      <c r="M175" s="95">
        <f t="shared" si="31"/>
        <v>0</v>
      </c>
    </row>
    <row r="176" spans="1:13" x14ac:dyDescent="0.2">
      <c r="A176" s="14" t="e">
        <f>IF(F176&lt;&gt;"",1+MAX(#REF!),"")</f>
        <v>#REF!</v>
      </c>
      <c r="B176" s="7" t="s">
        <v>36</v>
      </c>
      <c r="C176" s="28" t="s">
        <v>48</v>
      </c>
      <c r="D176" s="28"/>
      <c r="E176" s="94" t="s">
        <v>120</v>
      </c>
      <c r="F176" s="5">
        <f>0.16*F173</f>
        <v>216.27647999999999</v>
      </c>
      <c r="G176" s="16">
        <v>7.0000000000000007E-2</v>
      </c>
      <c r="H176" s="6">
        <f t="shared" si="29"/>
        <v>231.41583360000001</v>
      </c>
      <c r="I176" s="7" t="s">
        <v>44</v>
      </c>
      <c r="J176" s="36">
        <f t="shared" ref="J176:K176" si="35">J$32</f>
        <v>0</v>
      </c>
      <c r="K176" s="36">
        <f t="shared" si="35"/>
        <v>0</v>
      </c>
      <c r="L176" s="36">
        <f t="shared" si="30"/>
        <v>0</v>
      </c>
      <c r="M176" s="95">
        <f t="shared" si="31"/>
        <v>0</v>
      </c>
    </row>
    <row r="177" spans="1:13" x14ac:dyDescent="0.2">
      <c r="A177" s="14" t="e">
        <f>IF(F177&lt;&gt;"",1+MAX(#REF!),"")</f>
        <v>#REF!</v>
      </c>
      <c r="B177" s="7" t="s">
        <v>36</v>
      </c>
      <c r="C177" s="28" t="s">
        <v>48</v>
      </c>
      <c r="D177" s="28"/>
      <c r="E177" s="94" t="s">
        <v>121</v>
      </c>
      <c r="F177" s="5">
        <f>F172</f>
        <v>100</v>
      </c>
      <c r="G177" s="16">
        <v>7.0000000000000007E-2</v>
      </c>
      <c r="H177" s="6">
        <f t="shared" si="29"/>
        <v>107</v>
      </c>
      <c r="I177" s="7" t="s">
        <v>44</v>
      </c>
      <c r="J177" s="36">
        <f t="shared" ref="J177:K177" si="36">J$33</f>
        <v>0</v>
      </c>
      <c r="K177" s="36">
        <f t="shared" si="36"/>
        <v>0</v>
      </c>
      <c r="L177" s="36">
        <f t="shared" si="30"/>
        <v>0</v>
      </c>
      <c r="M177" s="95">
        <f t="shared" si="31"/>
        <v>0</v>
      </c>
    </row>
    <row r="178" spans="1:13" x14ac:dyDescent="0.2">
      <c r="A178" s="14" t="e">
        <f>IF(F178&lt;&gt;"",1+MAX(#REF!),"")</f>
        <v>#REF!</v>
      </c>
      <c r="B178" s="7" t="s">
        <v>36</v>
      </c>
      <c r="C178" s="28" t="s">
        <v>48</v>
      </c>
      <c r="D178" s="28"/>
      <c r="E178" s="94" t="s">
        <v>61</v>
      </c>
      <c r="F178" s="5">
        <f>2*4*0.668*1.2*2</f>
        <v>12.8256</v>
      </c>
      <c r="G178" s="16">
        <v>7.0000000000000007E-2</v>
      </c>
      <c r="H178" s="6">
        <f t="shared" si="29"/>
        <v>13.723392</v>
      </c>
      <c r="I178" s="7" t="s">
        <v>17</v>
      </c>
      <c r="J178" s="36">
        <f t="shared" ref="J178:K178" si="37">J$41</f>
        <v>0</v>
      </c>
      <c r="K178" s="36">
        <f t="shared" si="37"/>
        <v>0</v>
      </c>
      <c r="L178" s="36">
        <f t="shared" si="30"/>
        <v>0</v>
      </c>
      <c r="M178" s="95">
        <f t="shared" si="31"/>
        <v>0</v>
      </c>
    </row>
    <row r="179" spans="1:13" x14ac:dyDescent="0.2">
      <c r="A179" s="14" t="str">
        <f>IF(F179&lt;&gt;"",1+MAX(#REF!),"")</f>
        <v/>
      </c>
      <c r="B179" s="7"/>
      <c r="C179" s="28"/>
      <c r="D179" s="28"/>
      <c r="E179" s="27"/>
      <c r="F179" s="5"/>
      <c r="G179" s="16"/>
      <c r="H179" s="6"/>
      <c r="I179" s="7"/>
      <c r="J179" s="36"/>
      <c r="K179" s="36"/>
      <c r="L179" s="97"/>
      <c r="M179" s="95"/>
    </row>
    <row r="180" spans="1:13" x14ac:dyDescent="0.2">
      <c r="A180" s="14" t="str">
        <f>IF(F180&lt;&gt;"",1+MAX(#REF!),"")</f>
        <v/>
      </c>
      <c r="B180" s="7"/>
      <c r="C180" s="28"/>
      <c r="D180" s="28"/>
      <c r="E180" s="92" t="s">
        <v>72</v>
      </c>
      <c r="F180" s="5"/>
      <c r="G180" s="16"/>
      <c r="H180" s="6"/>
      <c r="I180" s="7"/>
      <c r="J180" s="17"/>
      <c r="K180" s="17"/>
      <c r="L180" s="93"/>
      <c r="M180" s="149"/>
    </row>
    <row r="181" spans="1:13" ht="47.25" x14ac:dyDescent="0.2">
      <c r="A181" s="14" t="str">
        <f>IF(F181&lt;&gt;"",1+MAX(#REF!),"")</f>
        <v/>
      </c>
      <c r="B181" s="7"/>
      <c r="C181" s="28"/>
      <c r="D181" s="28"/>
      <c r="E181" s="92" t="s">
        <v>129</v>
      </c>
      <c r="F181" s="5"/>
      <c r="G181" s="16"/>
      <c r="H181" s="6"/>
      <c r="I181" s="7"/>
      <c r="J181" s="17"/>
      <c r="K181" s="17"/>
      <c r="L181" s="93"/>
      <c r="M181" s="149"/>
    </row>
    <row r="182" spans="1:13" x14ac:dyDescent="0.2">
      <c r="A182" s="14" t="e">
        <f>IF(F182&lt;&gt;"",1+MAX(#REF!),"")</f>
        <v>#REF!</v>
      </c>
      <c r="B182" s="7" t="s">
        <v>41</v>
      </c>
      <c r="C182" s="28" t="s">
        <v>73</v>
      </c>
      <c r="D182" s="28"/>
      <c r="E182" s="94" t="s">
        <v>104</v>
      </c>
      <c r="F182" s="5">
        <f>3.14*1.5*1.5*0.25*4*103/27</f>
        <v>26.951666666666664</v>
      </c>
      <c r="G182" s="89">
        <v>7.0000000000000007E-2</v>
      </c>
      <c r="H182" s="6">
        <f>F182*(1+G182)</f>
        <v>28.838283333333333</v>
      </c>
      <c r="I182" s="7" t="s">
        <v>16</v>
      </c>
      <c r="J182" s="36">
        <f t="shared" ref="J182:K182" si="38">J$10</f>
        <v>0</v>
      </c>
      <c r="K182" s="36">
        <f t="shared" si="38"/>
        <v>0</v>
      </c>
      <c r="L182" s="36">
        <f>J182+K182</f>
        <v>0</v>
      </c>
      <c r="M182" s="95">
        <f>L182*H182</f>
        <v>0</v>
      </c>
    </row>
    <row r="183" spans="1:13" x14ac:dyDescent="0.2">
      <c r="A183" s="14" t="e">
        <f>IF(F183&lt;&gt;"",1+MAX(#REF!),"")</f>
        <v>#REF!</v>
      </c>
      <c r="B183" s="7" t="s">
        <v>41</v>
      </c>
      <c r="C183" s="28" t="s">
        <v>73</v>
      </c>
      <c r="D183" s="28"/>
      <c r="E183" s="94" t="s">
        <v>134</v>
      </c>
      <c r="F183" s="5">
        <f>3.14*1.5*4*103</f>
        <v>1940.52</v>
      </c>
      <c r="G183" s="16">
        <v>7.0000000000000007E-2</v>
      </c>
      <c r="H183" s="6">
        <f>F183*(1+G183)</f>
        <v>2076.3564000000001</v>
      </c>
      <c r="I183" s="7" t="s">
        <v>18</v>
      </c>
      <c r="J183" s="36">
        <f>J$11</f>
        <v>0</v>
      </c>
      <c r="K183" s="36">
        <f>K$11</f>
        <v>0</v>
      </c>
      <c r="L183" s="36">
        <f>J183+K183</f>
        <v>0</v>
      </c>
      <c r="M183" s="95">
        <f>L183*H183</f>
        <v>0</v>
      </c>
    </row>
    <row r="184" spans="1:13" x14ac:dyDescent="0.2">
      <c r="A184" s="14" t="e">
        <f>IF(F184&lt;&gt;"",1+MAX(#REF!),"")</f>
        <v>#REF!</v>
      </c>
      <c r="B184" s="7" t="s">
        <v>41</v>
      </c>
      <c r="C184" s="28" t="s">
        <v>73</v>
      </c>
      <c r="D184" s="28"/>
      <c r="E184" s="94" t="s">
        <v>144</v>
      </c>
      <c r="F184" s="5">
        <f>3.14*2.5*2.5*0.25*4.5*103/27</f>
        <v>84.223958333333329</v>
      </c>
      <c r="G184" s="16">
        <v>7.0000000000000007E-2</v>
      </c>
      <c r="H184" s="6">
        <f>F184*(1+G184)</f>
        <v>90.119635416666668</v>
      </c>
      <c r="I184" s="7" t="s">
        <v>16</v>
      </c>
      <c r="J184" s="36">
        <f>J$12</f>
        <v>0</v>
      </c>
      <c r="K184" s="36">
        <f>K$12</f>
        <v>0</v>
      </c>
      <c r="L184" s="36">
        <f>J184+K184</f>
        <v>0</v>
      </c>
      <c r="M184" s="95">
        <f>L184*H184</f>
        <v>0</v>
      </c>
    </row>
    <row r="185" spans="1:13" x14ac:dyDescent="0.2">
      <c r="A185" s="14" t="e">
        <f>IF(F185&lt;&gt;"",1+MAX(#REF!),"")</f>
        <v>#REF!</v>
      </c>
      <c r="B185" s="7" t="s">
        <v>41</v>
      </c>
      <c r="C185" s="28" t="s">
        <v>73</v>
      </c>
      <c r="D185" s="28"/>
      <c r="E185" s="94" t="s">
        <v>19</v>
      </c>
      <c r="F185" s="5">
        <f>F184-F186-F182</f>
        <v>47.914074074074065</v>
      </c>
      <c r="G185" s="16">
        <v>7.0000000000000007E-2</v>
      </c>
      <c r="H185" s="6">
        <f>F185*(1+G185)</f>
        <v>51.268059259259253</v>
      </c>
      <c r="I185" s="7" t="s">
        <v>16</v>
      </c>
      <c r="J185" s="36">
        <f t="shared" ref="J185:K185" si="39">J$13</f>
        <v>0</v>
      </c>
      <c r="K185" s="36">
        <f t="shared" si="39"/>
        <v>0</v>
      </c>
      <c r="L185" s="36">
        <f>J185+K185</f>
        <v>0</v>
      </c>
      <c r="M185" s="95">
        <f>L185*H185</f>
        <v>0</v>
      </c>
    </row>
    <row r="186" spans="1:13" x14ac:dyDescent="0.2">
      <c r="A186" s="14" t="e">
        <f>IF(F186&lt;&gt;"",1+MAX(#REF!),"")</f>
        <v>#REF!</v>
      </c>
      <c r="B186" s="7" t="s">
        <v>41</v>
      </c>
      <c r="C186" s="28" t="s">
        <v>73</v>
      </c>
      <c r="D186" s="28"/>
      <c r="E186" s="94" t="s">
        <v>74</v>
      </c>
      <c r="F186" s="5">
        <f>3.14*2.5*2.5*0.25*0.5*103/27</f>
        <v>9.3582175925925934</v>
      </c>
      <c r="G186" s="16">
        <v>7.0000000000000007E-2</v>
      </c>
      <c r="H186" s="6">
        <f>F186*(1+G186)</f>
        <v>10.013292824074076</v>
      </c>
      <c r="I186" s="7" t="s">
        <v>16</v>
      </c>
      <c r="J186" s="36">
        <f t="shared" ref="J186:K186" si="40">J$61</f>
        <v>0</v>
      </c>
      <c r="K186" s="36">
        <f t="shared" si="40"/>
        <v>0</v>
      </c>
      <c r="L186" s="36">
        <f>J186+K186</f>
        <v>0</v>
      </c>
      <c r="M186" s="95">
        <f>L186*H186</f>
        <v>0</v>
      </c>
    </row>
    <row r="187" spans="1:13" x14ac:dyDescent="0.2">
      <c r="A187" s="14" t="str">
        <f>IF(F187&lt;&gt;"",1+MAX(#REF!),"")</f>
        <v/>
      </c>
      <c r="B187" s="7"/>
      <c r="C187" s="28"/>
      <c r="D187" s="28"/>
      <c r="E187" s="27"/>
      <c r="F187" s="5"/>
      <c r="G187" s="16"/>
      <c r="H187" s="6"/>
      <c r="I187" s="7"/>
      <c r="J187" s="36"/>
      <c r="K187" s="36"/>
      <c r="L187" s="97"/>
      <c r="M187" s="95"/>
    </row>
    <row r="188" spans="1:13" x14ac:dyDescent="0.2">
      <c r="A188" s="14" t="str">
        <f>IF(F188&lt;&gt;"",1+MAX(#REF!),"")</f>
        <v/>
      </c>
      <c r="B188" s="7"/>
      <c r="C188" s="28"/>
      <c r="D188" s="28"/>
      <c r="E188" s="92" t="s">
        <v>75</v>
      </c>
      <c r="F188" s="5"/>
      <c r="G188" s="16"/>
      <c r="H188" s="6"/>
      <c r="I188" s="7"/>
      <c r="J188" s="17"/>
      <c r="K188" s="17"/>
      <c r="L188" s="93"/>
      <c r="M188" s="149"/>
    </row>
    <row r="189" spans="1:13" ht="78.75" x14ac:dyDescent="0.2">
      <c r="A189" s="14" t="str">
        <f>IF(F189&lt;&gt;"",1+MAX(#REF!),"")</f>
        <v/>
      </c>
      <c r="B189" s="7"/>
      <c r="C189" s="28"/>
      <c r="D189" s="28"/>
      <c r="E189" s="92" t="s">
        <v>130</v>
      </c>
      <c r="F189" s="5"/>
      <c r="G189" s="16"/>
      <c r="H189" s="6"/>
      <c r="I189" s="7"/>
      <c r="J189" s="17"/>
      <c r="K189" s="17"/>
      <c r="L189" s="93"/>
      <c r="M189" s="149"/>
    </row>
    <row r="190" spans="1:13" x14ac:dyDescent="0.2">
      <c r="A190" s="14" t="e">
        <f>IF(F190&lt;&gt;"",1+MAX(#REF!),"")</f>
        <v>#REF!</v>
      </c>
      <c r="B190" s="7" t="s">
        <v>76</v>
      </c>
      <c r="C190" s="28" t="s">
        <v>38</v>
      </c>
      <c r="D190" s="28"/>
      <c r="E190" s="94" t="s">
        <v>104</v>
      </c>
      <c r="F190" s="5">
        <f>7.5*7.5*2*16/27</f>
        <v>66.666666666666671</v>
      </c>
      <c r="G190" s="89">
        <v>7.0000000000000007E-2</v>
      </c>
      <c r="H190" s="6">
        <f t="shared" ref="H190:H195" si="41">F190*(1+G190)</f>
        <v>71.333333333333343</v>
      </c>
      <c r="I190" s="7" t="s">
        <v>16</v>
      </c>
      <c r="J190" s="36">
        <f t="shared" ref="J190:K190" si="42">J$10</f>
        <v>0</v>
      </c>
      <c r="K190" s="36">
        <f t="shared" si="42"/>
        <v>0</v>
      </c>
      <c r="L190" s="36">
        <f t="shared" ref="L190:L195" si="43">J190+K190</f>
        <v>0</v>
      </c>
      <c r="M190" s="95">
        <f t="shared" ref="M190:M195" si="44">L190*H190</f>
        <v>0</v>
      </c>
    </row>
    <row r="191" spans="1:13" x14ac:dyDescent="0.2">
      <c r="A191" s="14" t="e">
        <f>IF(F191&lt;&gt;"",1+MAX(#REF!),"")</f>
        <v>#REF!</v>
      </c>
      <c r="B191" s="7" t="s">
        <v>76</v>
      </c>
      <c r="C191" s="28" t="s">
        <v>38</v>
      </c>
      <c r="D191" s="28"/>
      <c r="E191" s="94" t="s">
        <v>77</v>
      </c>
      <c r="F191" s="5">
        <f>8*7.5*2.67*1.2*2*2*16</f>
        <v>12303.359999999999</v>
      </c>
      <c r="G191" s="89">
        <v>7.0000000000000007E-2</v>
      </c>
      <c r="H191" s="6">
        <f t="shared" si="41"/>
        <v>13164.5952</v>
      </c>
      <c r="I191" s="7" t="s">
        <v>17</v>
      </c>
      <c r="J191" s="36">
        <f t="shared" ref="J191:K191" si="45">J$41</f>
        <v>0</v>
      </c>
      <c r="K191" s="36">
        <f t="shared" si="45"/>
        <v>0</v>
      </c>
      <c r="L191" s="36">
        <f t="shared" si="43"/>
        <v>0</v>
      </c>
      <c r="M191" s="95">
        <f t="shared" si="44"/>
        <v>0</v>
      </c>
    </row>
    <row r="192" spans="1:13" x14ac:dyDescent="0.2">
      <c r="A192" s="14" t="e">
        <f>IF(F192&lt;&gt;"",1+MAX(#REF!),"")</f>
        <v>#REF!</v>
      </c>
      <c r="B192" s="7" t="s">
        <v>76</v>
      </c>
      <c r="C192" s="28" t="s">
        <v>38</v>
      </c>
      <c r="D192" s="28"/>
      <c r="E192" s="94" t="s">
        <v>110</v>
      </c>
      <c r="F192" s="5">
        <f>4*7.5*2*16</f>
        <v>960</v>
      </c>
      <c r="G192" s="16">
        <v>7.0000000000000007E-2</v>
      </c>
      <c r="H192" s="6">
        <f t="shared" si="41"/>
        <v>1027.2</v>
      </c>
      <c r="I192" s="7" t="s">
        <v>18</v>
      </c>
      <c r="J192" s="36">
        <v>0</v>
      </c>
      <c r="K192" s="36">
        <v>0</v>
      </c>
      <c r="L192" s="36">
        <f t="shared" si="43"/>
        <v>0</v>
      </c>
      <c r="M192" s="95">
        <f t="shared" si="44"/>
        <v>0</v>
      </c>
    </row>
    <row r="193" spans="1:13" x14ac:dyDescent="0.2">
      <c r="A193" s="14" t="e">
        <f>IF(F193&lt;&gt;"",1+MAX(#REF!),"")</f>
        <v>#REF!</v>
      </c>
      <c r="B193" s="7" t="s">
        <v>76</v>
      </c>
      <c r="C193" s="28" t="s">
        <v>38</v>
      </c>
      <c r="D193" s="28"/>
      <c r="E193" s="94" t="s">
        <v>144</v>
      </c>
      <c r="F193" s="5">
        <f>8.5*8.5*4.5*16/27</f>
        <v>192.66666666666666</v>
      </c>
      <c r="G193" s="16">
        <v>7.0000000000000007E-2</v>
      </c>
      <c r="H193" s="6">
        <f t="shared" si="41"/>
        <v>206.15333333333334</v>
      </c>
      <c r="I193" s="7" t="s">
        <v>16</v>
      </c>
      <c r="J193" s="36">
        <f>J$12</f>
        <v>0</v>
      </c>
      <c r="K193" s="36">
        <f>K$12</f>
        <v>0</v>
      </c>
      <c r="L193" s="36">
        <f t="shared" si="43"/>
        <v>0</v>
      </c>
      <c r="M193" s="95">
        <f t="shared" si="44"/>
        <v>0</v>
      </c>
    </row>
    <row r="194" spans="1:13" x14ac:dyDescent="0.2">
      <c r="A194" s="14" t="e">
        <f>IF(F194&lt;&gt;"",1+MAX(#REF!),"")</f>
        <v>#REF!</v>
      </c>
      <c r="B194" s="7" t="s">
        <v>76</v>
      </c>
      <c r="C194" s="28" t="s">
        <v>38</v>
      </c>
      <c r="D194" s="28"/>
      <c r="E194" s="94" t="s">
        <v>19</v>
      </c>
      <c r="F194" s="5">
        <f>F193-F190</f>
        <v>125.99999999999999</v>
      </c>
      <c r="G194" s="16">
        <v>7.0000000000000007E-2</v>
      </c>
      <c r="H194" s="6">
        <f t="shared" si="41"/>
        <v>134.82</v>
      </c>
      <c r="I194" s="7" t="s">
        <v>16</v>
      </c>
      <c r="J194" s="36">
        <f t="shared" ref="J194:K194" si="46">J$13</f>
        <v>0</v>
      </c>
      <c r="K194" s="36">
        <f t="shared" si="46"/>
        <v>0</v>
      </c>
      <c r="L194" s="36">
        <f t="shared" si="43"/>
        <v>0</v>
      </c>
      <c r="M194" s="95">
        <f t="shared" si="44"/>
        <v>0</v>
      </c>
    </row>
    <row r="195" spans="1:13" x14ac:dyDescent="0.2">
      <c r="A195" s="14" t="e">
        <f>IF(F195&lt;&gt;"",1+MAX(#REF!),"")</f>
        <v>#REF!</v>
      </c>
      <c r="B195" s="7" t="s">
        <v>76</v>
      </c>
      <c r="C195" s="28" t="s">
        <v>38</v>
      </c>
      <c r="D195" s="28"/>
      <c r="E195" s="94" t="s">
        <v>50</v>
      </c>
      <c r="F195" s="5">
        <v>16</v>
      </c>
      <c r="G195" s="16">
        <v>0</v>
      </c>
      <c r="H195" s="6">
        <f t="shared" si="41"/>
        <v>16</v>
      </c>
      <c r="I195" s="7" t="s">
        <v>51</v>
      </c>
      <c r="J195" s="36">
        <v>0</v>
      </c>
      <c r="K195" s="36">
        <v>0</v>
      </c>
      <c r="L195" s="36">
        <f t="shared" si="43"/>
        <v>0</v>
      </c>
      <c r="M195" s="95">
        <f t="shared" si="44"/>
        <v>0</v>
      </c>
    </row>
    <row r="196" spans="1:13" x14ac:dyDescent="0.2">
      <c r="A196" s="14" t="str">
        <f>IF(F196&lt;&gt;"",1+MAX(#REF!),"")</f>
        <v/>
      </c>
      <c r="B196" s="7"/>
      <c r="C196" s="28"/>
      <c r="D196" s="28"/>
      <c r="E196" s="27"/>
      <c r="F196" s="5"/>
      <c r="G196" s="16"/>
      <c r="H196" s="6"/>
      <c r="I196" s="7"/>
      <c r="J196" s="36"/>
      <c r="K196" s="36"/>
      <c r="L196" s="97"/>
      <c r="M196" s="95"/>
    </row>
    <row r="197" spans="1:13" x14ac:dyDescent="0.2">
      <c r="A197" s="14" t="str">
        <f>IF(F197&lt;&gt;"",1+MAX(#REF!),"")</f>
        <v/>
      </c>
      <c r="B197" s="7"/>
      <c r="C197" s="28"/>
      <c r="D197" s="28"/>
      <c r="E197" s="92" t="s">
        <v>78</v>
      </c>
      <c r="F197" s="5"/>
      <c r="G197" s="16"/>
      <c r="H197" s="6"/>
      <c r="I197" s="7"/>
      <c r="J197" s="17"/>
      <c r="K197" s="17"/>
      <c r="L197" s="93"/>
      <c r="M197" s="149"/>
    </row>
    <row r="198" spans="1:13" ht="78.75" x14ac:dyDescent="0.2">
      <c r="A198" s="14" t="str">
        <f>IF(F198&lt;&gt;"",1+MAX(#REF!),"")</f>
        <v/>
      </c>
      <c r="B198" s="7"/>
      <c r="C198" s="28"/>
      <c r="D198" s="28"/>
      <c r="E198" s="92" t="s">
        <v>131</v>
      </c>
      <c r="F198" s="5"/>
      <c r="G198" s="16"/>
      <c r="H198" s="6"/>
      <c r="I198" s="7"/>
      <c r="J198" s="17"/>
      <c r="K198" s="17"/>
      <c r="L198" s="93"/>
      <c r="M198" s="149"/>
    </row>
    <row r="199" spans="1:13" x14ac:dyDescent="0.2">
      <c r="A199" s="14" t="e">
        <f>IF(F199&lt;&gt;"",1+MAX(#REF!),"")</f>
        <v>#REF!</v>
      </c>
      <c r="B199" s="7" t="s">
        <v>76</v>
      </c>
      <c r="C199" s="28" t="s">
        <v>38</v>
      </c>
      <c r="D199" s="28"/>
      <c r="E199" s="94" t="s">
        <v>104</v>
      </c>
      <c r="F199" s="5">
        <f>2.67*2.67*2.5*16/27</f>
        <v>10.561333333333334</v>
      </c>
      <c r="G199" s="89">
        <v>7.0000000000000007E-2</v>
      </c>
      <c r="H199" s="6">
        <f>F199*(1+G199)</f>
        <v>11.300626666666668</v>
      </c>
      <c r="I199" s="7" t="s">
        <v>16</v>
      </c>
      <c r="J199" s="36">
        <f t="shared" ref="J199:K199" si="47">J$10</f>
        <v>0</v>
      </c>
      <c r="K199" s="36">
        <f t="shared" si="47"/>
        <v>0</v>
      </c>
      <c r="L199" s="36">
        <f>J199+K199</f>
        <v>0</v>
      </c>
      <c r="M199" s="95">
        <f>L199*H199</f>
        <v>0</v>
      </c>
    </row>
    <row r="200" spans="1:13" x14ac:dyDescent="0.2">
      <c r="A200" s="14" t="e">
        <f>IF(F200&lt;&gt;"",1+MAX(#REF!),"")</f>
        <v>#REF!</v>
      </c>
      <c r="B200" s="7" t="s">
        <v>76</v>
      </c>
      <c r="C200" s="28" t="s">
        <v>38</v>
      </c>
      <c r="D200" s="28"/>
      <c r="E200" s="94" t="s">
        <v>79</v>
      </c>
      <c r="F200" s="5">
        <f>12*4.5*1.5*1.2*16</f>
        <v>1555.2</v>
      </c>
      <c r="G200" s="89">
        <v>7.0000000000000007E-2</v>
      </c>
      <c r="H200" s="6">
        <f>F200*(1+G200)</f>
        <v>1664.0640000000001</v>
      </c>
      <c r="I200" s="7" t="s">
        <v>17</v>
      </c>
      <c r="J200" s="36">
        <f t="shared" ref="J200:K201" si="48">J$41</f>
        <v>0</v>
      </c>
      <c r="K200" s="36">
        <f t="shared" si="48"/>
        <v>0</v>
      </c>
      <c r="L200" s="36">
        <f>J200+K200</f>
        <v>0</v>
      </c>
      <c r="M200" s="95">
        <f>L200*H200</f>
        <v>0</v>
      </c>
    </row>
    <row r="201" spans="1:13" x14ac:dyDescent="0.2">
      <c r="A201" s="14" t="e">
        <f>IF(F201&lt;&gt;"",1+MAX(#REF!),"")</f>
        <v>#REF!</v>
      </c>
      <c r="B201" s="7" t="s">
        <v>76</v>
      </c>
      <c r="C201" s="28" t="s">
        <v>38</v>
      </c>
      <c r="D201" s="28"/>
      <c r="E201" s="94" t="s">
        <v>142</v>
      </c>
      <c r="F201" s="5">
        <f>5*(8*2.67+0.5*4)*0.668*1.2*16</f>
        <v>1498.03008</v>
      </c>
      <c r="G201" s="89">
        <v>7.0000000000000007E-2</v>
      </c>
      <c r="H201" s="6">
        <f>F201*(1+G201)</f>
        <v>1602.8921856000002</v>
      </c>
      <c r="I201" s="7" t="s">
        <v>17</v>
      </c>
      <c r="J201" s="36">
        <f t="shared" si="48"/>
        <v>0</v>
      </c>
      <c r="K201" s="36">
        <f t="shared" si="48"/>
        <v>0</v>
      </c>
      <c r="L201" s="36">
        <f>J201+K201</f>
        <v>0</v>
      </c>
      <c r="M201" s="95">
        <f>L201*H201</f>
        <v>0</v>
      </c>
    </row>
    <row r="202" spans="1:13" x14ac:dyDescent="0.2">
      <c r="A202" s="14" t="e">
        <f>IF(F202&lt;&gt;"",1+MAX(#REF!),"")</f>
        <v>#REF!</v>
      </c>
      <c r="B202" s="7" t="s">
        <v>76</v>
      </c>
      <c r="C202" s="28" t="s">
        <v>38</v>
      </c>
      <c r="D202" s="28"/>
      <c r="E202" s="94" t="s">
        <v>111</v>
      </c>
      <c r="F202" s="5">
        <f>4*2.67*2.5*16</f>
        <v>427.2</v>
      </c>
      <c r="G202" s="16">
        <v>7.0000000000000007E-2</v>
      </c>
      <c r="H202" s="6">
        <f>F202*(1+G202)</f>
        <v>457.10400000000004</v>
      </c>
      <c r="I202" s="7" t="s">
        <v>18</v>
      </c>
      <c r="J202" s="36">
        <v>0</v>
      </c>
      <c r="K202" s="36">
        <v>0</v>
      </c>
      <c r="L202" s="36">
        <f>J202+K202</f>
        <v>0</v>
      </c>
      <c r="M202" s="95">
        <f>L202*H202</f>
        <v>0</v>
      </c>
    </row>
    <row r="203" spans="1:13" x14ac:dyDescent="0.2">
      <c r="A203" s="14" t="str">
        <f>IF(F203&lt;&gt;"",1+MAX(#REF!),"")</f>
        <v/>
      </c>
      <c r="B203" s="7"/>
      <c r="C203" s="28"/>
      <c r="D203" s="28"/>
      <c r="E203" s="27"/>
      <c r="F203" s="5"/>
      <c r="G203" s="16"/>
      <c r="H203" s="6"/>
      <c r="I203" s="7"/>
      <c r="J203" s="36"/>
      <c r="K203" s="36"/>
      <c r="L203" s="97"/>
      <c r="M203" s="95"/>
    </row>
    <row r="204" spans="1:13" x14ac:dyDescent="0.2">
      <c r="A204" s="14" t="str">
        <f>IF(F204&lt;&gt;"",1+MAX(#REF!),"")</f>
        <v/>
      </c>
      <c r="B204" s="7"/>
      <c r="C204" s="28"/>
      <c r="D204" s="28"/>
      <c r="E204" s="92" t="s">
        <v>80</v>
      </c>
      <c r="F204" s="5"/>
      <c r="G204" s="16"/>
      <c r="H204" s="6"/>
      <c r="I204" s="7"/>
      <c r="J204" s="17"/>
      <c r="K204" s="17"/>
      <c r="L204" s="93"/>
      <c r="M204" s="149"/>
    </row>
    <row r="205" spans="1:13" ht="47.25" x14ac:dyDescent="0.2">
      <c r="A205" s="14" t="str">
        <f>IF(F205&lt;&gt;"",1+MAX(#REF!),"")</f>
        <v/>
      </c>
      <c r="B205" s="7"/>
      <c r="C205" s="28"/>
      <c r="D205" s="28"/>
      <c r="E205" s="92" t="s">
        <v>132</v>
      </c>
      <c r="F205" s="5"/>
      <c r="G205" s="16"/>
      <c r="H205" s="6"/>
      <c r="I205" s="7"/>
      <c r="J205" s="17"/>
      <c r="K205" s="17"/>
      <c r="L205" s="93"/>
      <c r="M205" s="149"/>
    </row>
    <row r="206" spans="1:13" x14ac:dyDescent="0.2">
      <c r="A206" s="14" t="e">
        <f>IF(F206&lt;&gt;"",1+MAX(#REF!),"")</f>
        <v>#REF!</v>
      </c>
      <c r="B206" s="7" t="s">
        <v>82</v>
      </c>
      <c r="C206" s="28" t="s">
        <v>73</v>
      </c>
      <c r="D206" s="28"/>
      <c r="E206" s="94" t="s">
        <v>104</v>
      </c>
      <c r="F206" s="5">
        <f>3.14*2*2*0.25*5.5*16/27</f>
        <v>10.234074074074075</v>
      </c>
      <c r="G206" s="89">
        <v>7.0000000000000007E-2</v>
      </c>
      <c r="H206" s="6">
        <f>F206*(1+G206)</f>
        <v>10.95045925925926</v>
      </c>
      <c r="I206" s="7" t="s">
        <v>16</v>
      </c>
      <c r="J206" s="36">
        <f t="shared" ref="J206:K206" si="49">J$10</f>
        <v>0</v>
      </c>
      <c r="K206" s="36">
        <f t="shared" si="49"/>
        <v>0</v>
      </c>
      <c r="L206" s="36">
        <f>J206+K206</f>
        <v>0</v>
      </c>
      <c r="M206" s="95">
        <f>L206*H206</f>
        <v>0</v>
      </c>
    </row>
    <row r="207" spans="1:13" x14ac:dyDescent="0.2">
      <c r="A207" s="14" t="e">
        <f>IF(F207&lt;&gt;"",1+MAX(#REF!),"")</f>
        <v>#REF!</v>
      </c>
      <c r="B207" s="7" t="s">
        <v>82</v>
      </c>
      <c r="C207" s="28" t="s">
        <v>73</v>
      </c>
      <c r="D207" s="28"/>
      <c r="E207" s="94" t="s">
        <v>147</v>
      </c>
      <c r="F207" s="5">
        <f>6*4.5*1.5*1.2*16</f>
        <v>777.6</v>
      </c>
      <c r="G207" s="89">
        <v>7.0000000000000007E-2</v>
      </c>
      <c r="H207" s="6">
        <f>F207*(1+G207)</f>
        <v>832.03200000000004</v>
      </c>
      <c r="I207" s="7" t="s">
        <v>17</v>
      </c>
      <c r="J207" s="36">
        <f t="shared" ref="J207:K208" si="50">J$41</f>
        <v>0</v>
      </c>
      <c r="K207" s="36">
        <f t="shared" si="50"/>
        <v>0</v>
      </c>
      <c r="L207" s="36">
        <f>J207+K207</f>
        <v>0</v>
      </c>
      <c r="M207" s="95">
        <f>L207*H207</f>
        <v>0</v>
      </c>
    </row>
    <row r="208" spans="1:13" x14ac:dyDescent="0.2">
      <c r="A208" s="14" t="e">
        <f>IF(F208&lt;&gt;"",1+MAX(#REF!),"")</f>
        <v>#REF!</v>
      </c>
      <c r="B208" s="7" t="s">
        <v>82</v>
      </c>
      <c r="C208" s="28" t="s">
        <v>73</v>
      </c>
      <c r="D208" s="28"/>
      <c r="E208" s="94" t="s">
        <v>107</v>
      </c>
      <c r="F208" s="5">
        <f>5.5/0.5*3.14*2*0.668*1.2*16</f>
        <v>885.99244799999997</v>
      </c>
      <c r="G208" s="89">
        <v>7.0000000000000007E-2</v>
      </c>
      <c r="H208" s="6">
        <f>F208*(1+G208)</f>
        <v>948.01191935999998</v>
      </c>
      <c r="I208" s="7" t="s">
        <v>17</v>
      </c>
      <c r="J208" s="36">
        <f t="shared" si="50"/>
        <v>0</v>
      </c>
      <c r="K208" s="36">
        <f t="shared" si="50"/>
        <v>0</v>
      </c>
      <c r="L208" s="36">
        <f>J208+K208</f>
        <v>0</v>
      </c>
      <c r="M208" s="95">
        <f>L208*H208</f>
        <v>0</v>
      </c>
    </row>
    <row r="209" spans="1:13" x14ac:dyDescent="0.2">
      <c r="A209" s="14" t="e">
        <f>IF(F209&lt;&gt;"",1+MAX(#REF!),"")</f>
        <v>#REF!</v>
      </c>
      <c r="B209" s="7" t="s">
        <v>82</v>
      </c>
      <c r="C209" s="28" t="s">
        <v>73</v>
      </c>
      <c r="D209" s="28"/>
      <c r="E209" s="94" t="s">
        <v>144</v>
      </c>
      <c r="F209" s="5">
        <f>F206</f>
        <v>10.234074074074075</v>
      </c>
      <c r="G209" s="16">
        <v>7.0000000000000007E-2</v>
      </c>
      <c r="H209" s="6">
        <f>F209*(1+G209)</f>
        <v>10.95045925925926</v>
      </c>
      <c r="I209" s="7" t="s">
        <v>16</v>
      </c>
      <c r="J209" s="36">
        <f>J$12</f>
        <v>0</v>
      </c>
      <c r="K209" s="36">
        <f>K$12</f>
        <v>0</v>
      </c>
      <c r="L209" s="36">
        <f>J209+K209</f>
        <v>0</v>
      </c>
      <c r="M209" s="95">
        <f>L209*H209</f>
        <v>0</v>
      </c>
    </row>
    <row r="210" spans="1:13" x14ac:dyDescent="0.2">
      <c r="A210" s="14" t="e">
        <f>IF(F210&lt;&gt;"",1+MAX(#REF!),"")</f>
        <v>#REF!</v>
      </c>
      <c r="B210" s="7" t="s">
        <v>82</v>
      </c>
      <c r="C210" s="28" t="s">
        <v>73</v>
      </c>
      <c r="D210" s="28"/>
      <c r="E210" s="94" t="s">
        <v>81</v>
      </c>
      <c r="F210" s="5">
        <v>16</v>
      </c>
      <c r="G210" s="16">
        <v>0</v>
      </c>
      <c r="H210" s="6">
        <f>F210*(1+G210)</f>
        <v>16</v>
      </c>
      <c r="I210" s="7" t="s">
        <v>51</v>
      </c>
      <c r="J210" s="36">
        <v>0</v>
      </c>
      <c r="K210" s="36">
        <v>0</v>
      </c>
      <c r="L210" s="36">
        <f>J210+K210</f>
        <v>0</v>
      </c>
      <c r="M210" s="95">
        <f>L210*H210</f>
        <v>0</v>
      </c>
    </row>
    <row r="211" spans="1:13" x14ac:dyDescent="0.2">
      <c r="A211" s="14"/>
      <c r="B211" s="7"/>
      <c r="C211" s="28"/>
      <c r="D211" s="28"/>
      <c r="E211" s="94"/>
      <c r="F211" s="5"/>
      <c r="G211" s="16"/>
      <c r="H211" s="6"/>
      <c r="I211" s="7"/>
      <c r="J211" s="36"/>
      <c r="K211" s="36"/>
      <c r="L211" s="36"/>
      <c r="M211" s="95"/>
    </row>
    <row r="212" spans="1:13" x14ac:dyDescent="0.2">
      <c r="A212" s="14" t="str">
        <f>IF(F212&lt;&gt;"",1+MAX(#REF!),"")</f>
        <v/>
      </c>
      <c r="B212" s="7"/>
      <c r="C212" s="28"/>
      <c r="D212" s="28"/>
      <c r="E212" s="27"/>
      <c r="F212" s="5"/>
      <c r="G212" s="16"/>
      <c r="H212" s="6"/>
      <c r="I212" s="7"/>
      <c r="J212" s="36"/>
      <c r="K212" s="36"/>
      <c r="L212" s="97"/>
      <c r="M212" s="95"/>
    </row>
    <row r="213" spans="1:13" x14ac:dyDescent="0.2">
      <c r="A213" s="14" t="str">
        <f>IF(F213&lt;&gt;"",1+MAX(#REF!),"")</f>
        <v/>
      </c>
      <c r="B213" s="7"/>
      <c r="C213" s="28"/>
      <c r="D213" s="28"/>
      <c r="E213" s="92" t="s">
        <v>83</v>
      </c>
      <c r="F213" s="5"/>
      <c r="G213" s="16"/>
      <c r="H213" s="6"/>
      <c r="I213" s="7"/>
      <c r="J213" s="17"/>
      <c r="K213" s="17"/>
      <c r="L213" s="93"/>
      <c r="M213" s="149"/>
    </row>
    <row r="214" spans="1:13" ht="47.25" x14ac:dyDescent="0.2">
      <c r="A214" s="14" t="str">
        <f>IF(F214&lt;&gt;"",1+MAX(#REF!),"")</f>
        <v/>
      </c>
      <c r="B214" s="7"/>
      <c r="C214" s="28"/>
      <c r="D214" s="28"/>
      <c r="E214" s="92" t="s">
        <v>133</v>
      </c>
      <c r="F214" s="5"/>
      <c r="G214" s="16"/>
      <c r="H214" s="6"/>
      <c r="I214" s="7"/>
      <c r="J214" s="17"/>
      <c r="K214" s="17"/>
      <c r="L214" s="93"/>
      <c r="M214" s="149"/>
    </row>
    <row r="215" spans="1:13" x14ac:dyDescent="0.2">
      <c r="A215" s="14" t="e">
        <f>IF(F215&lt;&gt;"",1+MAX(#REF!),"")</f>
        <v>#REF!</v>
      </c>
      <c r="B215" s="7" t="s">
        <v>84</v>
      </c>
      <c r="C215" s="150" t="s">
        <v>71</v>
      </c>
      <c r="D215" s="28"/>
      <c r="E215" s="94" t="s">
        <v>104</v>
      </c>
      <c r="F215" s="5">
        <f>3.14*2*2*0.25*5.5*3/27</f>
        <v>1.9188888888888889</v>
      </c>
      <c r="G215" s="89">
        <v>7.0000000000000007E-2</v>
      </c>
      <c r="H215" s="6">
        <f>F215*(1+G215)</f>
        <v>2.0532111111111111</v>
      </c>
      <c r="I215" s="7" t="s">
        <v>16</v>
      </c>
      <c r="J215" s="36">
        <f t="shared" ref="J215:K215" si="51">J$10</f>
        <v>0</v>
      </c>
      <c r="K215" s="36">
        <f t="shared" si="51"/>
        <v>0</v>
      </c>
      <c r="L215" s="36">
        <f>J215+K215</f>
        <v>0</v>
      </c>
      <c r="M215" s="95">
        <f>L215*H215</f>
        <v>0</v>
      </c>
    </row>
    <row r="216" spans="1:13" x14ac:dyDescent="0.2">
      <c r="A216" s="14" t="e">
        <f>IF(F216&lt;&gt;"",1+MAX(#REF!),"")</f>
        <v>#REF!</v>
      </c>
      <c r="B216" s="7" t="s">
        <v>84</v>
      </c>
      <c r="C216" s="150" t="s">
        <v>71</v>
      </c>
      <c r="D216" s="28"/>
      <c r="E216" s="94" t="s">
        <v>147</v>
      </c>
      <c r="F216" s="5">
        <f>6*4.5*1.5*1.2*3</f>
        <v>145.80000000000001</v>
      </c>
      <c r="G216" s="89">
        <v>7.0000000000000007E-2</v>
      </c>
      <c r="H216" s="6">
        <f>F216*(1+G216)</f>
        <v>156.00600000000003</v>
      </c>
      <c r="I216" s="7" t="s">
        <v>17</v>
      </c>
      <c r="J216" s="36">
        <f t="shared" ref="J216:K217" si="52">J$41</f>
        <v>0</v>
      </c>
      <c r="K216" s="36">
        <f t="shared" si="52"/>
        <v>0</v>
      </c>
      <c r="L216" s="36">
        <f>J216+K216</f>
        <v>0</v>
      </c>
      <c r="M216" s="95">
        <f>L216*H216</f>
        <v>0</v>
      </c>
    </row>
    <row r="217" spans="1:13" x14ac:dyDescent="0.2">
      <c r="A217" s="14" t="e">
        <f>IF(F217&lt;&gt;"",1+MAX(#REF!),"")</f>
        <v>#REF!</v>
      </c>
      <c r="B217" s="7" t="s">
        <v>84</v>
      </c>
      <c r="C217" s="150" t="s">
        <v>71</v>
      </c>
      <c r="D217" s="28"/>
      <c r="E217" s="94" t="s">
        <v>107</v>
      </c>
      <c r="F217" s="5">
        <f>5.5/0.5*3.14*2*0.668*1.2*3</f>
        <v>166.12358399999999</v>
      </c>
      <c r="G217" s="89">
        <v>7.0000000000000007E-2</v>
      </c>
      <c r="H217" s="6">
        <f>F217*(1+G217)</f>
        <v>177.75223488</v>
      </c>
      <c r="I217" s="7" t="s">
        <v>17</v>
      </c>
      <c r="J217" s="36">
        <f t="shared" si="52"/>
        <v>0</v>
      </c>
      <c r="K217" s="36">
        <f t="shared" si="52"/>
        <v>0</v>
      </c>
      <c r="L217" s="36">
        <f>J217+K217</f>
        <v>0</v>
      </c>
      <c r="M217" s="95">
        <f>L217*H217</f>
        <v>0</v>
      </c>
    </row>
    <row r="218" spans="1:13" x14ac:dyDescent="0.2">
      <c r="A218" s="14" t="e">
        <f>IF(F218&lt;&gt;"",1+MAX(#REF!),"")</f>
        <v>#REF!</v>
      </c>
      <c r="B218" s="7" t="s">
        <v>84</v>
      </c>
      <c r="C218" s="150" t="s">
        <v>71</v>
      </c>
      <c r="D218" s="28"/>
      <c r="E218" s="94" t="s">
        <v>144</v>
      </c>
      <c r="F218" s="5">
        <f>F215</f>
        <v>1.9188888888888889</v>
      </c>
      <c r="G218" s="16">
        <v>7.0000000000000007E-2</v>
      </c>
      <c r="H218" s="6">
        <f>F218*(1+G218)</f>
        <v>2.0532111111111111</v>
      </c>
      <c r="I218" s="7" t="s">
        <v>16</v>
      </c>
      <c r="J218" s="36">
        <f>J$12</f>
        <v>0</v>
      </c>
      <c r="K218" s="36">
        <f>K$12</f>
        <v>0</v>
      </c>
      <c r="L218" s="36">
        <f>J218+K218</f>
        <v>0</v>
      </c>
      <c r="M218" s="95">
        <f>L218*H218</f>
        <v>0</v>
      </c>
    </row>
    <row r="219" spans="1:13" x14ac:dyDescent="0.2">
      <c r="A219" s="14" t="e">
        <f>IF(F219&lt;&gt;"",1+MAX(#REF!),"")</f>
        <v>#REF!</v>
      </c>
      <c r="B219" s="7" t="s">
        <v>84</v>
      </c>
      <c r="C219" s="150" t="s">
        <v>71</v>
      </c>
      <c r="D219" s="28"/>
      <c r="E219" s="94" t="s">
        <v>81</v>
      </c>
      <c r="F219" s="5">
        <v>3</v>
      </c>
      <c r="G219" s="16">
        <v>0</v>
      </c>
      <c r="H219" s="6">
        <f>F219*(1+G219)</f>
        <v>3</v>
      </c>
      <c r="I219" s="7" t="s">
        <v>51</v>
      </c>
      <c r="J219" s="36">
        <f>J$102</f>
        <v>0</v>
      </c>
      <c r="K219" s="36">
        <f>K$102</f>
        <v>0</v>
      </c>
      <c r="L219" s="36">
        <f>J219+K219</f>
        <v>0</v>
      </c>
      <c r="M219" s="95">
        <f>L219*H219</f>
        <v>0</v>
      </c>
    </row>
    <row r="220" spans="1:13" x14ac:dyDescent="0.2">
      <c r="A220" s="14"/>
      <c r="B220" s="7"/>
      <c r="C220" s="150"/>
      <c r="D220" s="28"/>
      <c r="E220" s="94"/>
      <c r="F220" s="5"/>
      <c r="G220" s="16"/>
      <c r="H220" s="6"/>
      <c r="I220" s="7"/>
      <c r="J220" s="36"/>
      <c r="K220" s="36"/>
      <c r="L220" s="36"/>
      <c r="M220" s="95"/>
    </row>
    <row r="221" spans="1:13" x14ac:dyDescent="0.2">
      <c r="A221" s="14" t="str">
        <f>IF(F221&lt;&gt;"",1+MAX(#REF!),"")</f>
        <v/>
      </c>
      <c r="B221" s="7"/>
      <c r="C221" s="28"/>
      <c r="D221" s="28"/>
      <c r="E221" s="27"/>
      <c r="F221" s="5"/>
      <c r="G221" s="16"/>
      <c r="H221" s="6"/>
      <c r="I221" s="7"/>
      <c r="J221" s="36"/>
      <c r="K221" s="36"/>
      <c r="L221" s="97"/>
      <c r="M221" s="95"/>
    </row>
    <row r="222" spans="1:13" x14ac:dyDescent="0.2">
      <c r="A222" s="14" t="str">
        <f>IF(F222&lt;&gt;"",1+MAX(#REF!),"")</f>
        <v/>
      </c>
      <c r="B222" s="7"/>
      <c r="C222" s="28"/>
      <c r="D222" s="28"/>
      <c r="E222" s="92" t="s">
        <v>85</v>
      </c>
      <c r="F222" s="5"/>
      <c r="G222" s="16"/>
      <c r="H222" s="6"/>
      <c r="I222" s="7"/>
      <c r="J222" s="17"/>
      <c r="K222" s="17"/>
      <c r="L222" s="93"/>
      <c r="M222" s="149"/>
    </row>
    <row r="223" spans="1:13" x14ac:dyDescent="0.2">
      <c r="A223" s="14" t="e">
        <f>IF(F223&lt;&gt;"",1+MAX(#REF!),"")</f>
        <v>#REF!</v>
      </c>
      <c r="B223" s="7" t="s">
        <v>41</v>
      </c>
      <c r="C223" s="28" t="s">
        <v>42</v>
      </c>
      <c r="D223" s="153">
        <f>H223*0.67/27</f>
        <v>258.1902074074074</v>
      </c>
      <c r="E223" s="94" t="s">
        <v>148</v>
      </c>
      <c r="F223" s="5">
        <v>9724</v>
      </c>
      <c r="G223" s="89">
        <v>7.0000000000000007E-2</v>
      </c>
      <c r="H223" s="6">
        <f>F223*(1+G223)</f>
        <v>10404.68</v>
      </c>
      <c r="I223" s="7" t="s">
        <v>43</v>
      </c>
      <c r="J223" s="36">
        <v>0</v>
      </c>
      <c r="K223" s="36">
        <v>0</v>
      </c>
      <c r="L223" s="36">
        <f>J223+K223</f>
        <v>0</v>
      </c>
      <c r="M223" s="95">
        <f>L223*H223</f>
        <v>0</v>
      </c>
    </row>
    <row r="224" spans="1:13" x14ac:dyDescent="0.2">
      <c r="A224" s="14" t="e">
        <f>IF(F224&lt;&gt;"",1+MAX(#REF!),"")</f>
        <v>#REF!</v>
      </c>
      <c r="B224" s="7" t="s">
        <v>41</v>
      </c>
      <c r="C224" s="28" t="s">
        <v>42</v>
      </c>
      <c r="D224" s="28"/>
      <c r="E224" s="94" t="s">
        <v>136</v>
      </c>
      <c r="F224" s="5">
        <v>4789</v>
      </c>
      <c r="G224" s="89">
        <v>7.0000000000000007E-2</v>
      </c>
      <c r="H224" s="6">
        <f>F224*(1+G224)</f>
        <v>5124.2300000000005</v>
      </c>
      <c r="I224" s="7" t="s">
        <v>44</v>
      </c>
      <c r="J224" s="36">
        <f>J$59</f>
        <v>0</v>
      </c>
      <c r="K224" s="36">
        <f>K$59</f>
        <v>0</v>
      </c>
      <c r="L224" s="36">
        <f>J224+K224</f>
        <v>0</v>
      </c>
      <c r="M224" s="95">
        <f>L224*H224</f>
        <v>0</v>
      </c>
    </row>
    <row r="225" spans="1:13" x14ac:dyDescent="0.2">
      <c r="A225" s="14" t="e">
        <f>IF(F225&lt;&gt;"",1+MAX(#REF!),"")</f>
        <v>#REF!</v>
      </c>
      <c r="B225" s="7" t="s">
        <v>41</v>
      </c>
      <c r="C225" s="150" t="s">
        <v>71</v>
      </c>
      <c r="D225" s="28"/>
      <c r="E225" s="94" t="s">
        <v>141</v>
      </c>
      <c r="F225" s="5">
        <f>1.043*1.2*2*F223</f>
        <v>24341.116799999996</v>
      </c>
      <c r="G225" s="16">
        <v>7.0000000000000007E-2</v>
      </c>
      <c r="H225" s="6">
        <f>F225*(1+G225)</f>
        <v>26044.994975999998</v>
      </c>
      <c r="I225" s="7" t="s">
        <v>17</v>
      </c>
      <c r="J225" s="36">
        <f t="shared" ref="J225:K225" si="53">J$41</f>
        <v>0</v>
      </c>
      <c r="K225" s="36">
        <f t="shared" si="53"/>
        <v>0</v>
      </c>
      <c r="L225" s="36">
        <f>J225+K225</f>
        <v>0</v>
      </c>
      <c r="M225" s="95">
        <f>L225*H225</f>
        <v>0</v>
      </c>
    </row>
    <row r="226" spans="1:13" x14ac:dyDescent="0.2">
      <c r="A226" s="14" t="e">
        <f>IF(F226&lt;&gt;"",1+MAX(#REF!),"")</f>
        <v>#REF!</v>
      </c>
      <c r="B226" s="7" t="s">
        <v>41</v>
      </c>
      <c r="C226" s="28" t="s">
        <v>42</v>
      </c>
      <c r="D226" s="28"/>
      <c r="E226" s="94" t="s">
        <v>120</v>
      </c>
      <c r="F226" s="5">
        <f>0.16*F225</f>
        <v>3894.5786879999996</v>
      </c>
      <c r="G226" s="16">
        <v>7.0000000000000007E-2</v>
      </c>
      <c r="H226" s="6">
        <f>F226*(1+G226)</f>
        <v>4167.1991961599997</v>
      </c>
      <c r="I226" s="7" t="s">
        <v>44</v>
      </c>
      <c r="J226" s="36">
        <f t="shared" ref="J226:K226" si="54">J$32</f>
        <v>0</v>
      </c>
      <c r="K226" s="36">
        <f t="shared" si="54"/>
        <v>0</v>
      </c>
      <c r="L226" s="36">
        <f>J226+K226</f>
        <v>0</v>
      </c>
      <c r="M226" s="95">
        <f>L226*H226</f>
        <v>0</v>
      </c>
    </row>
    <row r="227" spans="1:13" x14ac:dyDescent="0.2">
      <c r="A227" s="14" t="e">
        <f>IF(F227&lt;&gt;"",1+MAX(#REF!),"")</f>
        <v>#REF!</v>
      </c>
      <c r="B227" s="7" t="s">
        <v>41</v>
      </c>
      <c r="C227" s="28" t="s">
        <v>42</v>
      </c>
      <c r="D227" s="28"/>
      <c r="E227" s="94" t="s">
        <v>121</v>
      </c>
      <c r="F227" s="5">
        <f>F223*0.08</f>
        <v>777.92000000000007</v>
      </c>
      <c r="G227" s="16">
        <v>7.0000000000000007E-2</v>
      </c>
      <c r="H227" s="6">
        <f>F227*(1+G227)</f>
        <v>832.37440000000015</v>
      </c>
      <c r="I227" s="7" t="s">
        <v>44</v>
      </c>
      <c r="J227" s="36">
        <f t="shared" ref="J227:K227" si="55">J$33</f>
        <v>0</v>
      </c>
      <c r="K227" s="36">
        <f t="shared" si="55"/>
        <v>0</v>
      </c>
      <c r="L227" s="36">
        <f>J227+K227</f>
        <v>0</v>
      </c>
      <c r="M227" s="95">
        <f>L227*H227</f>
        <v>0</v>
      </c>
    </row>
    <row r="228" spans="1:13" x14ac:dyDescent="0.2">
      <c r="A228" s="14" t="str">
        <f>IF(F228&lt;&gt;"",1+MAX(#REF!),"")</f>
        <v/>
      </c>
      <c r="B228" s="7"/>
      <c r="C228" s="28"/>
      <c r="D228" s="28"/>
      <c r="E228" s="92" t="s">
        <v>87</v>
      </c>
      <c r="F228" s="5"/>
      <c r="G228" s="16"/>
      <c r="H228" s="6"/>
      <c r="I228" s="7"/>
      <c r="J228" s="17"/>
      <c r="K228" s="17"/>
      <c r="L228" s="93"/>
      <c r="M228" s="149"/>
    </row>
    <row r="229" spans="1:13" x14ac:dyDescent="0.2">
      <c r="A229" s="14" t="e">
        <f>IF(F229&lt;&gt;"",1+MAX(#REF!),"")</f>
        <v>#REF!</v>
      </c>
      <c r="B229" s="7" t="s">
        <v>41</v>
      </c>
      <c r="C229" s="28" t="s">
        <v>42</v>
      </c>
      <c r="D229" s="153">
        <f>H229*0.5/27</f>
        <v>156.71537037037038</v>
      </c>
      <c r="E229" s="94" t="s">
        <v>149</v>
      </c>
      <c r="F229" s="5">
        <v>7909</v>
      </c>
      <c r="G229" s="89">
        <v>7.0000000000000007E-2</v>
      </c>
      <c r="H229" s="6">
        <f>F229*(1+G229)</f>
        <v>8462.630000000001</v>
      </c>
      <c r="I229" s="7" t="s">
        <v>43</v>
      </c>
      <c r="J229" s="36">
        <v>0</v>
      </c>
      <c r="K229" s="36">
        <v>0</v>
      </c>
      <c r="L229" s="36">
        <f>J229+K229</f>
        <v>0</v>
      </c>
      <c r="M229" s="95">
        <f>L229*H229</f>
        <v>0</v>
      </c>
    </row>
    <row r="230" spans="1:13" x14ac:dyDescent="0.2">
      <c r="A230" s="14" t="e">
        <f>IF(F230&lt;&gt;"",1+MAX(#REF!),"")</f>
        <v>#REF!</v>
      </c>
      <c r="B230" s="7" t="s">
        <v>41</v>
      </c>
      <c r="C230" s="28" t="s">
        <v>42</v>
      </c>
      <c r="D230" s="28"/>
      <c r="E230" s="94" t="s">
        <v>137</v>
      </c>
      <c r="F230" s="5">
        <v>1113</v>
      </c>
      <c r="G230" s="89">
        <v>7.0000000000000007E-2</v>
      </c>
      <c r="H230" s="6">
        <f>F230*(1+G230)</f>
        <v>1190.9100000000001</v>
      </c>
      <c r="I230" s="7" t="s">
        <v>44</v>
      </c>
      <c r="J230" s="36">
        <f t="shared" ref="J230:K230" si="56">J$67</f>
        <v>0</v>
      </c>
      <c r="K230" s="36">
        <f t="shared" si="56"/>
        <v>0</v>
      </c>
      <c r="L230" s="36">
        <f>J230+K230</f>
        <v>0</v>
      </c>
      <c r="M230" s="95">
        <f>L230*H230</f>
        <v>0</v>
      </c>
    </row>
    <row r="231" spans="1:13" x14ac:dyDescent="0.2">
      <c r="A231" s="14" t="e">
        <f>IF(F231&lt;&gt;"",1+MAX(#REF!),"")</f>
        <v>#REF!</v>
      </c>
      <c r="B231" s="7" t="s">
        <v>41</v>
      </c>
      <c r="C231" s="150" t="s">
        <v>71</v>
      </c>
      <c r="D231" s="28"/>
      <c r="E231" s="94" t="s">
        <v>141</v>
      </c>
      <c r="F231" s="5">
        <f>1.043*1.2*2*F229</f>
        <v>19797.808799999999</v>
      </c>
      <c r="G231" s="16">
        <v>7.0000000000000007E-2</v>
      </c>
      <c r="H231" s="6">
        <f>F231*(1+G231)</f>
        <v>21183.655416000001</v>
      </c>
      <c r="I231" s="7" t="s">
        <v>17</v>
      </c>
      <c r="J231" s="36">
        <f t="shared" ref="J231:K231" si="57">J$41</f>
        <v>0</v>
      </c>
      <c r="K231" s="36">
        <f t="shared" si="57"/>
        <v>0</v>
      </c>
      <c r="L231" s="36">
        <f>J231+K231</f>
        <v>0</v>
      </c>
      <c r="M231" s="95">
        <f>L231*H231</f>
        <v>0</v>
      </c>
    </row>
    <row r="232" spans="1:13" x14ac:dyDescent="0.2">
      <c r="A232" s="14" t="e">
        <f>IF(F232&lt;&gt;"",1+MAX(#REF!),"")</f>
        <v>#REF!</v>
      </c>
      <c r="B232" s="7" t="s">
        <v>41</v>
      </c>
      <c r="C232" s="28" t="s">
        <v>42</v>
      </c>
      <c r="D232" s="28"/>
      <c r="E232" s="94" t="s">
        <v>120</v>
      </c>
      <c r="F232" s="5">
        <f>0.16*F231</f>
        <v>3167.6494079999998</v>
      </c>
      <c r="G232" s="16">
        <v>7.0000000000000007E-2</v>
      </c>
      <c r="H232" s="6">
        <f>F232*(1+G232)</f>
        <v>3389.3848665599999</v>
      </c>
      <c r="I232" s="7" t="s">
        <v>44</v>
      </c>
      <c r="J232" s="36">
        <f t="shared" ref="J232:K232" si="58">J$32</f>
        <v>0</v>
      </c>
      <c r="K232" s="36">
        <f t="shared" si="58"/>
        <v>0</v>
      </c>
      <c r="L232" s="36">
        <f>J232+K232</f>
        <v>0</v>
      </c>
      <c r="M232" s="95">
        <f>L232*H232</f>
        <v>0</v>
      </c>
    </row>
    <row r="233" spans="1:13" x14ac:dyDescent="0.2">
      <c r="A233" s="14" t="e">
        <f>IF(F233&lt;&gt;"",1+MAX(#REF!),"")</f>
        <v>#REF!</v>
      </c>
      <c r="B233" s="7" t="s">
        <v>41</v>
      </c>
      <c r="C233" s="28" t="s">
        <v>42</v>
      </c>
      <c r="D233" s="28"/>
      <c r="E233" s="94" t="s">
        <v>121</v>
      </c>
      <c r="F233" s="5">
        <f>F229*0.08</f>
        <v>632.72</v>
      </c>
      <c r="G233" s="16">
        <v>7.0000000000000007E-2</v>
      </c>
      <c r="H233" s="6">
        <f>F233*(1+G233)</f>
        <v>677.01040000000012</v>
      </c>
      <c r="I233" s="7" t="s">
        <v>44</v>
      </c>
      <c r="J233" s="36">
        <f t="shared" ref="J233:K233" si="59">J$33</f>
        <v>0</v>
      </c>
      <c r="K233" s="36">
        <f t="shared" si="59"/>
        <v>0</v>
      </c>
      <c r="L233" s="36">
        <f>J233+K233</f>
        <v>0</v>
      </c>
      <c r="M233" s="95">
        <f>L233*H233</f>
        <v>0</v>
      </c>
    </row>
    <row r="234" spans="1:13" x14ac:dyDescent="0.2">
      <c r="A234" s="14" t="str">
        <f>IF(F234&lt;&gt;"",1+MAX(#REF!),"")</f>
        <v/>
      </c>
      <c r="B234" s="7"/>
      <c r="C234" s="28"/>
      <c r="D234" s="28"/>
      <c r="E234" s="92" t="s">
        <v>86</v>
      </c>
      <c r="F234" s="5"/>
      <c r="G234" s="16"/>
      <c r="H234" s="6"/>
      <c r="I234" s="7"/>
      <c r="J234" s="17"/>
      <c r="K234" s="17"/>
      <c r="L234" s="93"/>
      <c r="M234" s="149"/>
    </row>
    <row r="235" spans="1:13" x14ac:dyDescent="0.2">
      <c r="A235" s="14" t="e">
        <f>IF(F235&lt;&gt;"",1+MAX(#REF!),"")</f>
        <v>#REF!</v>
      </c>
      <c r="B235" s="7" t="s">
        <v>41</v>
      </c>
      <c r="C235" s="28" t="s">
        <v>42</v>
      </c>
      <c r="D235" s="28"/>
      <c r="E235" s="94" t="s">
        <v>104</v>
      </c>
      <c r="F235" s="5">
        <f>4*3*0.5*3/27</f>
        <v>0.66666666666666663</v>
      </c>
      <c r="G235" s="89">
        <v>7.0000000000000007E-2</v>
      </c>
      <c r="H235" s="6">
        <f>F235*(1+G235)</f>
        <v>0.71333333333333337</v>
      </c>
      <c r="I235" s="7" t="s">
        <v>16</v>
      </c>
      <c r="J235" s="36">
        <f t="shared" ref="J235:K235" si="60">J$10</f>
        <v>0</v>
      </c>
      <c r="K235" s="36">
        <f t="shared" si="60"/>
        <v>0</v>
      </c>
      <c r="L235" s="36">
        <f>J235+K235</f>
        <v>0</v>
      </c>
      <c r="M235" s="95">
        <f>L235*H235</f>
        <v>0</v>
      </c>
    </row>
    <row r="236" spans="1:13" x14ac:dyDescent="0.2">
      <c r="A236" s="14" t="e">
        <f>IF(F236&lt;&gt;"",1+MAX(#REF!),"")</f>
        <v>#REF!</v>
      </c>
      <c r="B236" s="7" t="s">
        <v>41</v>
      </c>
      <c r="C236" s="28" t="s">
        <v>42</v>
      </c>
      <c r="D236" s="28"/>
      <c r="E236" s="94" t="s">
        <v>137</v>
      </c>
      <c r="F236" s="5">
        <f>2*7*3</f>
        <v>42</v>
      </c>
      <c r="G236" s="89">
        <v>7.0000000000000007E-2</v>
      </c>
      <c r="H236" s="6">
        <f>F236*(1+G236)</f>
        <v>44.940000000000005</v>
      </c>
      <c r="I236" s="7" t="s">
        <v>44</v>
      </c>
      <c r="J236" s="36">
        <f t="shared" ref="J236:K236" si="61">J$67</f>
        <v>0</v>
      </c>
      <c r="K236" s="36">
        <f t="shared" si="61"/>
        <v>0</v>
      </c>
      <c r="L236" s="36">
        <f>J236+K236</f>
        <v>0</v>
      </c>
      <c r="M236" s="95">
        <f>L236*H236</f>
        <v>0</v>
      </c>
    </row>
    <row r="237" spans="1:13" x14ac:dyDescent="0.2">
      <c r="A237" s="14" t="str">
        <f>IF(F237&lt;&gt;"",1+MAX(#REF!),"")</f>
        <v/>
      </c>
      <c r="B237" s="7"/>
      <c r="C237" s="28"/>
      <c r="D237" s="28"/>
      <c r="E237" s="92" t="s">
        <v>89</v>
      </c>
      <c r="F237" s="5"/>
      <c r="G237" s="16"/>
      <c r="H237" s="6"/>
      <c r="I237" s="7"/>
      <c r="J237" s="17"/>
      <c r="K237" s="17"/>
      <c r="L237" s="93"/>
      <c r="M237" s="149"/>
    </row>
    <row r="238" spans="1:13" x14ac:dyDescent="0.2">
      <c r="A238" s="14" t="e">
        <f>IF(F238&lt;&gt;"",1+MAX(#REF!),"")</f>
        <v>#REF!</v>
      </c>
      <c r="B238" s="7" t="s">
        <v>41</v>
      </c>
      <c r="C238" s="150" t="s">
        <v>71</v>
      </c>
      <c r="D238" s="28"/>
      <c r="E238" s="94" t="s">
        <v>104</v>
      </c>
      <c r="F238" s="5">
        <f>25*0.037037037037037</f>
        <v>0.92592592592592504</v>
      </c>
      <c r="G238" s="89">
        <v>7.0000000000000007E-2</v>
      </c>
      <c r="H238" s="6">
        <f>F238*(1+G238)</f>
        <v>0.99074074074073981</v>
      </c>
      <c r="I238" s="7" t="s">
        <v>16</v>
      </c>
      <c r="J238" s="36">
        <f t="shared" ref="J238:K238" si="62">J$10</f>
        <v>0</v>
      </c>
      <c r="K238" s="36">
        <f t="shared" si="62"/>
        <v>0</v>
      </c>
      <c r="L238" s="36">
        <f>J238+K238</f>
        <v>0</v>
      </c>
      <c r="M238" s="95">
        <f>L238*H238</f>
        <v>0</v>
      </c>
    </row>
    <row r="239" spans="1:13" x14ac:dyDescent="0.2">
      <c r="A239" s="14" t="e">
        <f>IF(F239&lt;&gt;"",1+MAX(#REF!),"")</f>
        <v>#REF!</v>
      </c>
      <c r="B239" s="7" t="s">
        <v>41</v>
      </c>
      <c r="C239" s="150" t="s">
        <v>71</v>
      </c>
      <c r="D239" s="28"/>
      <c r="E239" s="94" t="s">
        <v>90</v>
      </c>
      <c r="F239" s="5">
        <v>20</v>
      </c>
      <c r="G239" s="89">
        <v>7.0000000000000007E-2</v>
      </c>
      <c r="H239" s="6">
        <f>F239*(1+G239)</f>
        <v>21.400000000000002</v>
      </c>
      <c r="I239" s="7" t="s">
        <v>18</v>
      </c>
      <c r="J239" s="36">
        <f t="shared" ref="J239:K239" si="63">J$44</f>
        <v>0</v>
      </c>
      <c r="K239" s="36">
        <f t="shared" si="63"/>
        <v>0</v>
      </c>
      <c r="L239" s="36">
        <f>J239+K239</f>
        <v>0</v>
      </c>
      <c r="M239" s="95">
        <f>L239*H239</f>
        <v>0</v>
      </c>
    </row>
    <row r="240" spans="1:13" x14ac:dyDescent="0.2">
      <c r="A240" s="14" t="e">
        <f>IF(F240&lt;&gt;"",1+MAX(#REF!),"")</f>
        <v>#REF!</v>
      </c>
      <c r="B240" s="7" t="s">
        <v>41</v>
      </c>
      <c r="C240" s="150" t="s">
        <v>71</v>
      </c>
      <c r="D240" s="28"/>
      <c r="E240" s="94" t="s">
        <v>141</v>
      </c>
      <c r="F240" s="5">
        <f>1.043*1.2*2*2*25</f>
        <v>125.15999999999998</v>
      </c>
      <c r="G240" s="16">
        <v>7.0000000000000007E-2</v>
      </c>
      <c r="H240" s="6">
        <f>F240*(1+G240)</f>
        <v>133.9212</v>
      </c>
      <c r="I240" s="7" t="s">
        <v>17</v>
      </c>
      <c r="J240" s="36">
        <f t="shared" ref="J240:K240" si="64">J$41</f>
        <v>0</v>
      </c>
      <c r="K240" s="36">
        <f t="shared" si="64"/>
        <v>0</v>
      </c>
      <c r="L240" s="36">
        <f>J240+K240</f>
        <v>0</v>
      </c>
      <c r="M240" s="95">
        <f>L240*H240</f>
        <v>0</v>
      </c>
    </row>
    <row r="241" spans="1:13" x14ac:dyDescent="0.2">
      <c r="A241" s="14"/>
      <c r="B241" s="7"/>
      <c r="C241" s="150"/>
      <c r="D241" s="28"/>
      <c r="E241" s="94"/>
      <c r="F241" s="5"/>
      <c r="G241" s="16"/>
      <c r="H241" s="6"/>
      <c r="I241" s="7"/>
      <c r="J241" s="36"/>
      <c r="K241" s="36"/>
      <c r="L241" s="36"/>
      <c r="M241" s="95"/>
    </row>
    <row r="242" spans="1:13" x14ac:dyDescent="0.2">
      <c r="A242" s="14" t="str">
        <f>IF(F242&lt;&gt;"",1+MAX(#REF!),"")</f>
        <v/>
      </c>
      <c r="B242" s="7"/>
      <c r="C242" s="28"/>
      <c r="D242" s="28"/>
      <c r="E242" s="92" t="s">
        <v>91</v>
      </c>
      <c r="F242" s="5"/>
      <c r="G242" s="16"/>
      <c r="H242" s="6"/>
      <c r="I242" s="7"/>
      <c r="J242" s="17"/>
      <c r="K242" s="17"/>
      <c r="L242" s="93"/>
      <c r="M242" s="149"/>
    </row>
    <row r="243" spans="1:13" x14ac:dyDescent="0.2">
      <c r="A243" s="14" t="e">
        <f>IF(F243&lt;&gt;"",1+MAX(#REF!),"")</f>
        <v>#REF!</v>
      </c>
      <c r="B243" s="7" t="s">
        <v>41</v>
      </c>
      <c r="C243" s="28" t="s">
        <v>38</v>
      </c>
      <c r="D243" s="28"/>
      <c r="E243" s="94" t="s">
        <v>150</v>
      </c>
      <c r="F243" s="5">
        <v>55</v>
      </c>
      <c r="G243" s="89">
        <v>7.0000000000000007E-2</v>
      </c>
      <c r="H243" s="6">
        <f>F243*(1+G243)</f>
        <v>58.85</v>
      </c>
      <c r="I243" s="7" t="s">
        <v>43</v>
      </c>
      <c r="J243" s="36">
        <v>0</v>
      </c>
      <c r="K243" s="36">
        <v>0</v>
      </c>
      <c r="L243" s="36">
        <f>J243+K243</f>
        <v>0</v>
      </c>
      <c r="M243" s="95">
        <f>L243*H243</f>
        <v>0</v>
      </c>
    </row>
    <row r="244" spans="1:13" x14ac:dyDescent="0.2">
      <c r="A244" s="14" t="str">
        <f>IF(F244&lt;&gt;"",1+MAX(#REF!),"")</f>
        <v/>
      </c>
      <c r="B244" s="7"/>
      <c r="C244" s="28"/>
      <c r="D244" s="28"/>
      <c r="E244" s="27"/>
      <c r="F244" s="5"/>
      <c r="G244" s="16"/>
      <c r="H244" s="6"/>
      <c r="I244" s="7"/>
      <c r="J244" s="36"/>
      <c r="K244" s="36"/>
      <c r="L244" s="97"/>
      <c r="M244" s="95"/>
    </row>
    <row r="245" spans="1:13" x14ac:dyDescent="0.2">
      <c r="A245" s="14" t="str">
        <f>IF(F245&lt;&gt;"",1+MAX(#REF!),"")</f>
        <v/>
      </c>
      <c r="B245" s="7"/>
      <c r="C245" s="28"/>
      <c r="D245" s="28"/>
      <c r="E245" s="92" t="s">
        <v>92</v>
      </c>
      <c r="F245" s="5"/>
      <c r="G245" s="16"/>
      <c r="H245" s="6"/>
      <c r="I245" s="7"/>
      <c r="J245" s="17"/>
      <c r="K245" s="17"/>
      <c r="L245" s="93"/>
      <c r="M245" s="149"/>
    </row>
    <row r="246" spans="1:13" x14ac:dyDescent="0.2">
      <c r="A246" s="14" t="e">
        <f>IF(F246&lt;&gt;"",1+MAX(#REF!),"")</f>
        <v>#REF!</v>
      </c>
      <c r="B246" s="7" t="s">
        <v>41</v>
      </c>
      <c r="C246" s="28" t="s">
        <v>38</v>
      </c>
      <c r="D246" s="28"/>
      <c r="E246" s="94" t="s">
        <v>151</v>
      </c>
      <c r="F246" s="5">
        <v>138</v>
      </c>
      <c r="G246" s="89">
        <v>7.0000000000000007E-2</v>
      </c>
      <c r="H246" s="6">
        <f>F246*(1+G246)</f>
        <v>147.66</v>
      </c>
      <c r="I246" s="7" t="s">
        <v>44</v>
      </c>
      <c r="J246" s="36">
        <v>0</v>
      </c>
      <c r="K246" s="36">
        <v>0</v>
      </c>
      <c r="L246" s="36">
        <f>J246+K246</f>
        <v>0</v>
      </c>
      <c r="M246" s="95">
        <f>L246*H246</f>
        <v>0</v>
      </c>
    </row>
    <row r="247" spans="1:13" x14ac:dyDescent="0.2">
      <c r="A247" s="14" t="str">
        <f>IF(F247&lt;&gt;"",1+MAX(#REF!),"")</f>
        <v/>
      </c>
      <c r="B247" s="28"/>
      <c r="C247" s="28"/>
      <c r="D247" s="91"/>
      <c r="E247" s="170" t="s">
        <v>21</v>
      </c>
      <c r="F247" s="5"/>
      <c r="G247" s="16"/>
      <c r="H247" s="6"/>
      <c r="I247" s="7"/>
      <c r="J247" s="8"/>
      <c r="K247" s="8"/>
      <c r="L247" s="95"/>
      <c r="M247" s="3">
        <f>SUM(M112:M246)</f>
        <v>0</v>
      </c>
    </row>
    <row r="248" spans="1:13" ht="16.5" thickBot="1" x14ac:dyDescent="0.25">
      <c r="A248" s="141" t="s">
        <v>10</v>
      </c>
      <c r="B248" s="142"/>
      <c r="C248" s="142"/>
      <c r="D248" s="142"/>
      <c r="E248" s="143" t="s">
        <v>22</v>
      </c>
      <c r="F248" s="144"/>
      <c r="G248" s="145"/>
      <c r="H248" s="145"/>
      <c r="I248" s="146"/>
      <c r="J248" s="147"/>
      <c r="K248" s="147"/>
      <c r="L248" s="148">
        <f>SUM(M112:M247)</f>
        <v>0</v>
      </c>
      <c r="M248" s="148" t="e">
        <f>SUM(#REF!)</f>
        <v>#REF!</v>
      </c>
    </row>
    <row r="249" spans="1:13" ht="16.5" thickBot="1" x14ac:dyDescent="0.25">
      <c r="A249" s="58" t="s">
        <v>23</v>
      </c>
      <c r="B249" s="59"/>
      <c r="C249" s="59"/>
      <c r="D249" s="59"/>
      <c r="E249" s="60"/>
      <c r="F249" s="61"/>
      <c r="G249" s="62"/>
      <c r="H249" s="63"/>
      <c r="I249" s="59"/>
      <c r="J249" s="64"/>
      <c r="K249" s="64"/>
      <c r="L249" s="65">
        <v>0.2</v>
      </c>
      <c r="M249" s="66" t="e">
        <f>M248*L249</f>
        <v>#REF!</v>
      </c>
    </row>
    <row r="250" spans="1:13" ht="16.5" thickBot="1" x14ac:dyDescent="0.25">
      <c r="A250" s="67" t="s">
        <v>28</v>
      </c>
      <c r="B250" s="68"/>
      <c r="C250" s="68"/>
      <c r="D250" s="68"/>
      <c r="E250" s="69"/>
      <c r="F250" s="70"/>
      <c r="G250" s="71"/>
      <c r="H250" s="72"/>
      <c r="I250" s="68"/>
      <c r="J250" s="73"/>
      <c r="K250" s="73"/>
      <c r="L250" s="74">
        <v>0.05</v>
      </c>
      <c r="M250" s="75" t="e">
        <f>M248*L250</f>
        <v>#REF!</v>
      </c>
    </row>
    <row r="251" spans="1:13" ht="16.5" thickBot="1" x14ac:dyDescent="0.25">
      <c r="A251" s="76" t="s">
        <v>33</v>
      </c>
      <c r="B251" s="77"/>
      <c r="C251" s="77"/>
      <c r="D251" s="77"/>
      <c r="E251" s="78"/>
      <c r="F251" s="79"/>
      <c r="G251" s="80"/>
      <c r="H251" s="80"/>
      <c r="I251" s="81"/>
      <c r="J251" s="82"/>
      <c r="K251" s="82"/>
      <c r="L251" s="83"/>
      <c r="M251" s="84" t="e">
        <f>SUM(M248:M250)</f>
        <v>#REF!</v>
      </c>
    </row>
    <row r="252" spans="1:13" x14ac:dyDescent="0.2">
      <c r="A252" s="29" t="s">
        <v>31</v>
      </c>
      <c r="B252" s="30"/>
      <c r="C252" s="30"/>
      <c r="D252" s="30"/>
      <c r="E252" s="31"/>
      <c r="F252" s="32"/>
      <c r="G252" s="33"/>
      <c r="H252" s="33"/>
      <c r="I252" s="30"/>
      <c r="J252" s="34"/>
      <c r="K252" s="34"/>
      <c r="L252" s="34"/>
      <c r="M252" s="35"/>
    </row>
    <row r="253" spans="1:13" ht="16.5" thickBot="1" x14ac:dyDescent="0.25">
      <c r="A253" s="163" t="s">
        <v>32</v>
      </c>
      <c r="B253" s="164"/>
      <c r="C253" s="164"/>
      <c r="D253" s="164"/>
      <c r="E253" s="165"/>
      <c r="F253" s="166"/>
      <c r="G253" s="167"/>
      <c r="H253" s="167"/>
      <c r="I253" s="164"/>
      <c r="J253" s="168"/>
      <c r="K253" s="168"/>
      <c r="L253" s="168"/>
      <c r="M253" s="169"/>
    </row>
  </sheetData>
  <mergeCells count="1">
    <mergeCell ref="A111:M111"/>
  </mergeCells>
  <pageMargins left="0.25" right="0.25" top="0.75" bottom="0.75" header="0.3" footer="0.3"/>
  <pageSetup paperSize="9" scale="75" fitToHeight="0" orientation="landscape" r:id="rId1"/>
  <headerFooter>
    <oddHeader>&amp;C
&amp;G</oddHeader>
    <oddFooter>&amp;C&amp;P of &amp;N</oddFooter>
  </headerFooter>
  <rowBreaks count="5" manualBreakCount="5">
    <brk id="44" max="12" man="1"/>
    <brk id="66" max="12" man="1"/>
    <brk id="83" max="12" man="1"/>
    <brk id="109" max="13" man="1"/>
    <brk id="220" max="12" man="1"/>
  </rowBreaks>
  <ignoredErrors>
    <ignoredError sqref="F82:F91" formula="1"/>
  </ignoredErrors>
  <drawing r:id="rId2"/>
  <legacyDrawingHF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7F2077CE-676A-4C1C-BF19-6264EDBA5EFA}">
  <ds:schemaRefs>
    <ds:schemaRef ds:uri="http://www.w3.org/2001/XMLSchem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BUILDING CONCRETE</vt:lpstr>
      <vt:lpstr>'BUILDING CONCRETE'!Print_Area</vt:lpstr>
      <vt:lpstr>'BUILDING CONCRETE'!Print_Titles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2013-07-08T09:36:48Z</dcterms:created>
  <dcterms:modified xsi:type="dcterms:W3CDTF">2026-05-07T16:09:18Z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PS9Connected">
    <vt:bool>true</vt:bool>
  </property>
  <property fmtid="{D5CDD505-2E9C-101B-9397-08002B2CF9AE}" pid="3" name="PlanSwiftJobName">
    <vt:lpwstr/>
  </property>
  <property fmtid="{D5CDD505-2E9C-101B-9397-08002B2CF9AE}" pid="4" name="PlanSwiftJobGuid">
    <vt:lpwstr/>
  </property>
  <property fmtid="{D5CDD505-2E9C-101B-9397-08002B2CF9AE}" pid="5" name="LinkedDataId">
    <vt:lpwstr>{7F2077CE-676A-4C1C-BF19-6264EDBA5EFA}</vt:lpwstr>
  </property>
</Properties>
</file>