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filterPrivacy="1" codeName="ThisWorkbook" defaultThemeVersion="124226"/>
  <xr:revisionPtr revIDLastSave="227" documentId="13_ncr:1_{1F358DE2-CA47-4DFD-A971-31C1322D57D4}" xr6:coauthVersionLast="47" xr6:coauthVersionMax="47" xr10:uidLastSave="{D2C0598F-8008-41C7-9374-7CDC7DD715F5}"/>
  <bookViews>
    <workbookView xWindow="20370" yWindow="-120" windowWidth="29040" windowHeight="15840" tabRatio="822" xr2:uid="{00000000-000D-0000-FFFF-FFFF00000000}"/>
  </bookViews>
  <sheets>
    <sheet name="BUILDING ESTIMATE" sheetId="12" r:id="rId1"/>
    <sheet name="TRUSSES" sheetId="16" r:id="rId2"/>
  </sheets>
  <definedNames>
    <definedName name="_xlnm._FilterDatabase" localSheetId="0" hidden="1">'BUILDING ESTIMATE'!$A$1:$L$1528</definedName>
    <definedName name="_xlnm._FilterDatabase" localSheetId="1" hidden="1">TRUSSES!$A$1:$J$44</definedName>
    <definedName name="Anchor_Bolt_Labor">#REF!</definedName>
    <definedName name="Bentonite_WS">#REF!</definedName>
    <definedName name="BRICK" localSheetId="1">#REF!</definedName>
    <definedName name="BRICK">#REF!</definedName>
    <definedName name="BS_TD">#REF!</definedName>
    <definedName name="CARP" localSheetId="1">#REF!</definedName>
    <definedName name="CARP">#REF!</definedName>
    <definedName name="CARPET" localSheetId="1">#REF!</definedName>
    <definedName name="CARPET">#REF!</definedName>
    <definedName name="Column_Footing_CY">#REF!</definedName>
    <definedName name="Company">#REF!</definedName>
    <definedName name="Concrete_CY_Labor">#REF!</definedName>
    <definedName name="Concrete_Paving_Labor">#REF!</definedName>
    <definedName name="Cost_per_Ton">#REF!</definedName>
    <definedName name="Curb_LF">#REF!</definedName>
    <definedName name="Date">#REF!</definedName>
    <definedName name="ELECT" localSheetId="1">#REF!</definedName>
    <definedName name="ELECT">#REF!</definedName>
    <definedName name="FINISH" localSheetId="1">#REF!</definedName>
    <definedName name="FINISH">#REF!</definedName>
    <definedName name="Footing_Keyway">#REF!</definedName>
    <definedName name="Form_TD">#REF!</definedName>
    <definedName name="GLAZER" localSheetId="1">#REF!</definedName>
    <definedName name="GLAZER">#REF!</definedName>
    <definedName name="Handicap_Labor">#REF!</definedName>
    <definedName name="IRON" localSheetId="1">#REF!</definedName>
    <definedName name="IRON">#REF!</definedName>
    <definedName name="LABOR" localSheetId="1">#REF!</definedName>
    <definedName name="LABOR">#REF!</definedName>
    <definedName name="Labor_Markup">#REF!</definedName>
    <definedName name="Lean_Concrete">#REF!</definedName>
    <definedName name="LW_3000">#REF!</definedName>
    <definedName name="LW_4000">#REF!</definedName>
    <definedName name="Material_Markup">#REF!</definedName>
    <definedName name="Name">#REF!</definedName>
    <definedName name="NW_3000">#REF!</definedName>
    <definedName name="NW_3500">#REF!</definedName>
    <definedName name="NW_4000">#REF!</definedName>
    <definedName name="NW_4500">#REF!</definedName>
    <definedName name="NW_5000">#REF!</definedName>
    <definedName name="OPER" localSheetId="1">#REF!</definedName>
    <definedName name="OPER">#REF!</definedName>
    <definedName name="PAINT" localSheetId="1">#REF!</definedName>
    <definedName name="PAINT">#REF!</definedName>
    <definedName name="PAR" localSheetId="1">#REF!</definedName>
    <definedName name="PAR">#REF!</definedName>
    <definedName name="Paver_Base_Labor">#REF!</definedName>
    <definedName name="PLUMB" localSheetId="1">#REF!</definedName>
    <definedName name="PLUMB">#REF!</definedName>
    <definedName name="_xlnm.Print_Area" localSheetId="0">'BUILDING ESTIMATE'!$A$1:$L$2778</definedName>
    <definedName name="_xlnm.Print_Area" localSheetId="1">TRUSSES!$A$1:$J$38</definedName>
    <definedName name="Print_Area_MI" localSheetId="1">#REF!</definedName>
    <definedName name="Print_Area_MI">#REF!</definedName>
    <definedName name="_xlnm.Print_Titles" localSheetId="0">'BUILDING ESTIMATE'!$1:$6</definedName>
    <definedName name="_xlnm.Print_Titles" localSheetId="1">TRUSSES!$1:$6</definedName>
    <definedName name="PT_Wire">#REF!</definedName>
    <definedName name="PT_Wire_Labor">#REF!</definedName>
    <definedName name="Pumps">#REF!</definedName>
    <definedName name="PVC_Bulb_WS">#REF!</definedName>
    <definedName name="Ramp_Labor">#REF!</definedName>
    <definedName name="Rebar_Cost">#REF!</definedName>
    <definedName name="Rebar_Labor">#REF!</definedName>
    <definedName name="Rebar_per_ton">#REF!</definedName>
    <definedName name="Rebar_Tons">#REF!</definedName>
    <definedName name="ROOF" localSheetId="1">#REF!</definedName>
    <definedName name="ROOF">#REF!</definedName>
    <definedName name="Sidewalk_Labor">#REF!</definedName>
    <definedName name="SM" localSheetId="1">#REF!</definedName>
    <definedName name="SM">#REF!</definedName>
    <definedName name="SOD_SF">#REF!</definedName>
    <definedName name="SOG_SF">#REF!</definedName>
    <definedName name="SPRINKLER" localSheetId="1">#REF!</definedName>
    <definedName name="SPRINKLER">#REF!</definedName>
    <definedName name="Tax">#REF!</definedName>
    <definedName name="TD_LF">#REF!</definedName>
    <definedName name="TD_Wall">#REF!</definedName>
    <definedName name="Tons_per_CY">#REF!</definedName>
    <definedName name="Trench_Footing_CY">#REF!</definedName>
    <definedName name="Trench_Footing_LF">#REF!</definedName>
    <definedName name="TS_LF">#REF!</definedName>
    <definedName name="Wall_Forming_CSF">#REF!</definedName>
    <definedName name="Wall_Form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773" i="12" l="1"/>
  <c r="A2776" i="12"/>
  <c r="A2775" i="12"/>
  <c r="A2774" i="12"/>
  <c r="A2773" i="12"/>
  <c r="J2769" i="12"/>
  <c r="K2769" i="12" s="1"/>
  <c r="A2771" i="12"/>
  <c r="J2767" i="12"/>
  <c r="I2767" i="12"/>
  <c r="J2766" i="12"/>
  <c r="I2766" i="12"/>
  <c r="J2765" i="12"/>
  <c r="K2765" i="12" s="1"/>
  <c r="I2765" i="12"/>
  <c r="J2764" i="12"/>
  <c r="I2764" i="12"/>
  <c r="J2763" i="12"/>
  <c r="K2763" i="12" s="1"/>
  <c r="I2763" i="12"/>
  <c r="J2762" i="12"/>
  <c r="I2762" i="12"/>
  <c r="J2761" i="12"/>
  <c r="K2761" i="12" s="1"/>
  <c r="I2761" i="12"/>
  <c r="J2760" i="12"/>
  <c r="I2760" i="12"/>
  <c r="J2759" i="12"/>
  <c r="K2759" i="12" s="1"/>
  <c r="I2759" i="12"/>
  <c r="J2758" i="12"/>
  <c r="I2758" i="12"/>
  <c r="J2757" i="12"/>
  <c r="K2757" i="12" s="1"/>
  <c r="I2757" i="12"/>
  <c r="J2756" i="12"/>
  <c r="I2756" i="12"/>
  <c r="J2755" i="12"/>
  <c r="K2755" i="12" s="1"/>
  <c r="I2755" i="12"/>
  <c r="J2754" i="12"/>
  <c r="I2754" i="12"/>
  <c r="J2753" i="12"/>
  <c r="K2753" i="12" s="1"/>
  <c r="I2753" i="12"/>
  <c r="J2752" i="12"/>
  <c r="I2752" i="12"/>
  <c r="J2751" i="12"/>
  <c r="K2751" i="12" s="1"/>
  <c r="I2751" i="12"/>
  <c r="J2750" i="12"/>
  <c r="I2750" i="12"/>
  <c r="J2749" i="12"/>
  <c r="K2749" i="12" s="1"/>
  <c r="I2749" i="12"/>
  <c r="J2748" i="12"/>
  <c r="I2748" i="12"/>
  <c r="J2747" i="12"/>
  <c r="K2747" i="12" s="1"/>
  <c r="I2747" i="12"/>
  <c r="A2749" i="12"/>
  <c r="A2748" i="12"/>
  <c r="A2747" i="12"/>
  <c r="A2735" i="12"/>
  <c r="A2734" i="12"/>
  <c r="A2733" i="12"/>
  <c r="A2732" i="12"/>
  <c r="H2731" i="12"/>
  <c r="K2731" i="12" s="1"/>
  <c r="L2733" i="12" s="1"/>
  <c r="A2730" i="12"/>
  <c r="A2729" i="12"/>
  <c r="A2728" i="12"/>
  <c r="A2727" i="12"/>
  <c r="H2726" i="12"/>
  <c r="K2726" i="12" s="1"/>
  <c r="H2725" i="12"/>
  <c r="K2725" i="12" s="1"/>
  <c r="H2724" i="12"/>
  <c r="K2724" i="12" s="1"/>
  <c r="H2723" i="12"/>
  <c r="K2723" i="12" s="1"/>
  <c r="A2722" i="12"/>
  <c r="H2721" i="12"/>
  <c r="K2721" i="12" s="1"/>
  <c r="H2720" i="12"/>
  <c r="K2720" i="12" s="1"/>
  <c r="H2719" i="12"/>
  <c r="K2719" i="12" s="1"/>
  <c r="H2718" i="12"/>
  <c r="K2718" i="12" s="1"/>
  <c r="H2717" i="12"/>
  <c r="K2717" i="12" s="1"/>
  <c r="H2716" i="12"/>
  <c r="K2716" i="12" s="1"/>
  <c r="H2715" i="12"/>
  <c r="K2715" i="12" s="1"/>
  <c r="H2714" i="12"/>
  <c r="K2714" i="12" s="1"/>
  <c r="H2713" i="12"/>
  <c r="K2713" i="12" s="1"/>
  <c r="H2712" i="12"/>
  <c r="K2712" i="12" s="1"/>
  <c r="H2711" i="12"/>
  <c r="K2711" i="12" s="1"/>
  <c r="H2710" i="12"/>
  <c r="K2710" i="12" s="1"/>
  <c r="H2709" i="12"/>
  <c r="K2709" i="12" s="1"/>
  <c r="H2708" i="12"/>
  <c r="K2708" i="12" s="1"/>
  <c r="H2707" i="12"/>
  <c r="K2707" i="12" s="1"/>
  <c r="H2706" i="12"/>
  <c r="K2706" i="12" s="1"/>
  <c r="H2705" i="12"/>
  <c r="K2705" i="12" s="1"/>
  <c r="H2704" i="12"/>
  <c r="K2704" i="12" s="1"/>
  <c r="H2703" i="12"/>
  <c r="K2703" i="12" s="1"/>
  <c r="H2702" i="12"/>
  <c r="K2702" i="12" s="1"/>
  <c r="H2701" i="12"/>
  <c r="K2701" i="12" s="1"/>
  <c r="H2700" i="12"/>
  <c r="K2700" i="12" s="1"/>
  <c r="H2699" i="12"/>
  <c r="K2699" i="12" s="1"/>
  <c r="H2698" i="12"/>
  <c r="K2698" i="12" s="1"/>
  <c r="A2697" i="12"/>
  <c r="A2696" i="12"/>
  <c r="H2695" i="12"/>
  <c r="K2695" i="12" s="1"/>
  <c r="A2694" i="12"/>
  <c r="A2693" i="12"/>
  <c r="J2692" i="12"/>
  <c r="H2692" i="12"/>
  <c r="J2691" i="12"/>
  <c r="H2691" i="12"/>
  <c r="J2690" i="12"/>
  <c r="H2690" i="12"/>
  <c r="A2689" i="12"/>
  <c r="A2688" i="12"/>
  <c r="J2686" i="12"/>
  <c r="J2685" i="12"/>
  <c r="J2684" i="12"/>
  <c r="F2684" i="12"/>
  <c r="F2685" i="12" s="1"/>
  <c r="A2683" i="12"/>
  <c r="J2681" i="12"/>
  <c r="F2681" i="12"/>
  <c r="J2680" i="12"/>
  <c r="F2680" i="12"/>
  <c r="H2680" i="12" s="1"/>
  <c r="H2679" i="12"/>
  <c r="K2679" i="12" s="1"/>
  <c r="A2678" i="12"/>
  <c r="J2676" i="12"/>
  <c r="F2676" i="12"/>
  <c r="H2676" i="12" s="1"/>
  <c r="J2675" i="12"/>
  <c r="F2675" i="12"/>
  <c r="H2674" i="12"/>
  <c r="K2674" i="12" s="1"/>
  <c r="A2673" i="12"/>
  <c r="J2671" i="12"/>
  <c r="F2671" i="12"/>
  <c r="H2671" i="12" s="1"/>
  <c r="J2670" i="12"/>
  <c r="F2670" i="12"/>
  <c r="H2669" i="12"/>
  <c r="K2669" i="12" s="1"/>
  <c r="A2668" i="12"/>
  <c r="A2667" i="12"/>
  <c r="A2666" i="12"/>
  <c r="H2665" i="12"/>
  <c r="K2665" i="12" s="1"/>
  <c r="A2664" i="12"/>
  <c r="A2663" i="12"/>
  <c r="K2662" i="12"/>
  <c r="H2662" i="12"/>
  <c r="A2661" i="12"/>
  <c r="A2660" i="12"/>
  <c r="F2659" i="12"/>
  <c r="H2659" i="12" s="1"/>
  <c r="K2659" i="12" s="1"/>
  <c r="A2658" i="12"/>
  <c r="A2657" i="12"/>
  <c r="H2656" i="12"/>
  <c r="K2656" i="12" s="1"/>
  <c r="H2655" i="12"/>
  <c r="K2655" i="12" s="1"/>
  <c r="H2654" i="12"/>
  <c r="K2654" i="12" s="1"/>
  <c r="H2653" i="12"/>
  <c r="K2653" i="12" s="1"/>
  <c r="H2652" i="12"/>
  <c r="K2652" i="12" s="1"/>
  <c r="H2651" i="12"/>
  <c r="K2651" i="12" s="1"/>
  <c r="H2650" i="12"/>
  <c r="K2650" i="12" s="1"/>
  <c r="H2649" i="12"/>
  <c r="K2649" i="12" s="1"/>
  <c r="H2648" i="12"/>
  <c r="K2648" i="12" s="1"/>
  <c r="H2647" i="12"/>
  <c r="K2647" i="12" s="1"/>
  <c r="A2646" i="12"/>
  <c r="A2645" i="12"/>
  <c r="H2644" i="12"/>
  <c r="K2644" i="12" s="1"/>
  <c r="A2643" i="12"/>
  <c r="A2642" i="12"/>
  <c r="H2641" i="12"/>
  <c r="K2641" i="12" s="1"/>
  <c r="H2640" i="12"/>
  <c r="K2640" i="12" s="1"/>
  <c r="H2639" i="12"/>
  <c r="K2639" i="12" s="1"/>
  <c r="H2638" i="12"/>
  <c r="K2638" i="12" s="1"/>
  <c r="H2637" i="12"/>
  <c r="K2637" i="12" s="1"/>
  <c r="H2636" i="12"/>
  <c r="K2636" i="12" s="1"/>
  <c r="H2635" i="12"/>
  <c r="K2635" i="12" s="1"/>
  <c r="H2634" i="12"/>
  <c r="K2634" i="12" s="1"/>
  <c r="H2633" i="12"/>
  <c r="K2633" i="12" s="1"/>
  <c r="H2632" i="12"/>
  <c r="K2632" i="12" s="1"/>
  <c r="A2631" i="12"/>
  <c r="A2630" i="12"/>
  <c r="H2629" i="12"/>
  <c r="K2629" i="12" s="1"/>
  <c r="H2628" i="12"/>
  <c r="K2628" i="12" s="1"/>
  <c r="H2627" i="12"/>
  <c r="K2627" i="12" s="1"/>
  <c r="H2626" i="12"/>
  <c r="K2626" i="12" s="1"/>
  <c r="H2625" i="12"/>
  <c r="K2625" i="12" s="1"/>
  <c r="H2624" i="12"/>
  <c r="K2624" i="12" s="1"/>
  <c r="H2623" i="12"/>
  <c r="K2623" i="12" s="1"/>
  <c r="H2622" i="12"/>
  <c r="K2622" i="12" s="1"/>
  <c r="H2621" i="12"/>
  <c r="K2621" i="12" s="1"/>
  <c r="H2620" i="12"/>
  <c r="K2620" i="12" s="1"/>
  <c r="H2619" i="12"/>
  <c r="K2619" i="12" s="1"/>
  <c r="H2618" i="12"/>
  <c r="K2618" i="12" s="1"/>
  <c r="H2617" i="12"/>
  <c r="K2617" i="12" s="1"/>
  <c r="H2616" i="12"/>
  <c r="K2616" i="12" s="1"/>
  <c r="A2615" i="12"/>
  <c r="A2614" i="12"/>
  <c r="H2613" i="12"/>
  <c r="K2613" i="12" s="1"/>
  <c r="H2612" i="12"/>
  <c r="K2612" i="12" s="1"/>
  <c r="H2611" i="12"/>
  <c r="K2611" i="12" s="1"/>
  <c r="H2610" i="12"/>
  <c r="K2610" i="12" s="1"/>
  <c r="H2609" i="12"/>
  <c r="K2609" i="12" s="1"/>
  <c r="H2608" i="12"/>
  <c r="K2608" i="12" s="1"/>
  <c r="H2607" i="12"/>
  <c r="K2607" i="12" s="1"/>
  <c r="H2606" i="12"/>
  <c r="K2606" i="12" s="1"/>
  <c r="A2605" i="12"/>
  <c r="A2604" i="12"/>
  <c r="J2603" i="12"/>
  <c r="H2603" i="12"/>
  <c r="J2602" i="12"/>
  <c r="F2602" i="12"/>
  <c r="F2601" i="12"/>
  <c r="H2601" i="12" s="1"/>
  <c r="F2600" i="12"/>
  <c r="F2599" i="12"/>
  <c r="H2599" i="12" s="1"/>
  <c r="A2597" i="12"/>
  <c r="J2596" i="12"/>
  <c r="H2596" i="12"/>
  <c r="J2595" i="12"/>
  <c r="F2595" i="12"/>
  <c r="H2595" i="12" s="1"/>
  <c r="F2594" i="12"/>
  <c r="H2594" i="12" s="1"/>
  <c r="F2593" i="12"/>
  <c r="F2592" i="12"/>
  <c r="H2592" i="12" s="1"/>
  <c r="A2590" i="12"/>
  <c r="J2589" i="12"/>
  <c r="H2589" i="12"/>
  <c r="J2588" i="12"/>
  <c r="F2588" i="12"/>
  <c r="F2587" i="12"/>
  <c r="H2587" i="12" s="1"/>
  <c r="F2586" i="12"/>
  <c r="F2585" i="12"/>
  <c r="H2585" i="12" s="1"/>
  <c r="A2583" i="12"/>
  <c r="J2582" i="12"/>
  <c r="H2582" i="12"/>
  <c r="J2581" i="12"/>
  <c r="F2581" i="12"/>
  <c r="H2581" i="12" s="1"/>
  <c r="F2580" i="12"/>
  <c r="H2580" i="12" s="1"/>
  <c r="F2579" i="12"/>
  <c r="F2578" i="12"/>
  <c r="H2578" i="12" s="1"/>
  <c r="A2576" i="12"/>
  <c r="H2575" i="12"/>
  <c r="K2575" i="12" s="1"/>
  <c r="F2574" i="12"/>
  <c r="H2574" i="12" s="1"/>
  <c r="K2574" i="12" s="1"/>
  <c r="F2573" i="12"/>
  <c r="H2573" i="12" s="1"/>
  <c r="K2573" i="12" s="1"/>
  <c r="F2572" i="12"/>
  <c r="H2572" i="12" s="1"/>
  <c r="F2571" i="12"/>
  <c r="H2571" i="12" s="1"/>
  <c r="A2569" i="12"/>
  <c r="F2568" i="12"/>
  <c r="A2567" i="12"/>
  <c r="A2566" i="12"/>
  <c r="A2565" i="12"/>
  <c r="A2564" i="12"/>
  <c r="A2563" i="12"/>
  <c r="A2562" i="12"/>
  <c r="J2560" i="12"/>
  <c r="F2560" i="12"/>
  <c r="F2559" i="12"/>
  <c r="H2559" i="12" s="1"/>
  <c r="K2559" i="12" s="1"/>
  <c r="F2558" i="12"/>
  <c r="H2558" i="12" s="1"/>
  <c r="K2558" i="12" s="1"/>
  <c r="F2557" i="12"/>
  <c r="H2557" i="12" s="1"/>
  <c r="H2556" i="12"/>
  <c r="K2556" i="12" s="1"/>
  <c r="H2555" i="12"/>
  <c r="K2555" i="12" s="1"/>
  <c r="A2554" i="12"/>
  <c r="A2553" i="12"/>
  <c r="A2552" i="12"/>
  <c r="A2551" i="12"/>
  <c r="H2550" i="12"/>
  <c r="K2550" i="12" s="1"/>
  <c r="H2549" i="12"/>
  <c r="K2549" i="12" s="1"/>
  <c r="H2548" i="12"/>
  <c r="K2548" i="12" s="1"/>
  <c r="H2547" i="12"/>
  <c r="K2547" i="12" s="1"/>
  <c r="H2546" i="12"/>
  <c r="K2546" i="12" s="1"/>
  <c r="H2545" i="12"/>
  <c r="K2545" i="12" s="1"/>
  <c r="A2544" i="12"/>
  <c r="A2543" i="12"/>
  <c r="A2542" i="12"/>
  <c r="J2540" i="12"/>
  <c r="J2539" i="12"/>
  <c r="F2538" i="12"/>
  <c r="A2537" i="12"/>
  <c r="J2535" i="12"/>
  <c r="J2534" i="12"/>
  <c r="F2533" i="12"/>
  <c r="F2535" i="12" s="1"/>
  <c r="A2532" i="12"/>
  <c r="J2529" i="12"/>
  <c r="F2528" i="12"/>
  <c r="F2529" i="12" s="1"/>
  <c r="A2527" i="12"/>
  <c r="A2526" i="12"/>
  <c r="A2525" i="12"/>
  <c r="A2524" i="12"/>
  <c r="H2523" i="12"/>
  <c r="K2523" i="12" s="1"/>
  <c r="H2522" i="12"/>
  <c r="K2522" i="12" s="1"/>
  <c r="H2521" i="12"/>
  <c r="K2521" i="12" s="1"/>
  <c r="H2520" i="12"/>
  <c r="K2520" i="12" s="1"/>
  <c r="A2519" i="12"/>
  <c r="A2518" i="12"/>
  <c r="F2516" i="12"/>
  <c r="H2516" i="12" s="1"/>
  <c r="K2516" i="12" s="1"/>
  <c r="J2515" i="12"/>
  <c r="F2515" i="12"/>
  <c r="H2514" i="12"/>
  <c r="K2514" i="12" s="1"/>
  <c r="A2513" i="12"/>
  <c r="A2512" i="12"/>
  <c r="A2511" i="12"/>
  <c r="A2510" i="12"/>
  <c r="H2509" i="12"/>
  <c r="K2509" i="12" s="1"/>
  <c r="H2508" i="12"/>
  <c r="K2508" i="12" s="1"/>
  <c r="H2507" i="12"/>
  <c r="K2507" i="12" s="1"/>
  <c r="H2506" i="12"/>
  <c r="K2506" i="12" s="1"/>
  <c r="H2505" i="12"/>
  <c r="K2505" i="12" s="1"/>
  <c r="H2504" i="12"/>
  <c r="K2504" i="12" s="1"/>
  <c r="H2503" i="12"/>
  <c r="K2503" i="12" s="1"/>
  <c r="H2502" i="12"/>
  <c r="K2502" i="12" s="1"/>
  <c r="H2501" i="12"/>
  <c r="K2501" i="12" s="1"/>
  <c r="H2500" i="12"/>
  <c r="K2500" i="12" s="1"/>
  <c r="H2499" i="12"/>
  <c r="K2499" i="12" s="1"/>
  <c r="H2498" i="12"/>
  <c r="K2498" i="12" s="1"/>
  <c r="H2497" i="12"/>
  <c r="K2497" i="12" s="1"/>
  <c r="A2496" i="12"/>
  <c r="A2495" i="12"/>
  <c r="A2494" i="12"/>
  <c r="F2492" i="12"/>
  <c r="H2492" i="12" s="1"/>
  <c r="J2491" i="12"/>
  <c r="F2491" i="12"/>
  <c r="J2490" i="12"/>
  <c r="H2490" i="12"/>
  <c r="A2489" i="12"/>
  <c r="F2487" i="12"/>
  <c r="H2487" i="12" s="1"/>
  <c r="J2486" i="12"/>
  <c r="F2486" i="12"/>
  <c r="H2485" i="12"/>
  <c r="K2485" i="12" s="1"/>
  <c r="A2484" i="12"/>
  <c r="J2481" i="12"/>
  <c r="F2480" i="12"/>
  <c r="F2482" i="12" s="1"/>
  <c r="A2479" i="12"/>
  <c r="F2477" i="12"/>
  <c r="H2477" i="12" s="1"/>
  <c r="J2476" i="12"/>
  <c r="F2476" i="12"/>
  <c r="H2475" i="12"/>
  <c r="K2475" i="12" s="1"/>
  <c r="A2474" i="12"/>
  <c r="F2472" i="12"/>
  <c r="H2472" i="12" s="1"/>
  <c r="J2471" i="12"/>
  <c r="F2471" i="12"/>
  <c r="H2470" i="12"/>
  <c r="K2470" i="12" s="1"/>
  <c r="A2469" i="12"/>
  <c r="F2467" i="12"/>
  <c r="H2467" i="12" s="1"/>
  <c r="J2466" i="12"/>
  <c r="F2466" i="12"/>
  <c r="H2466" i="12" s="1"/>
  <c r="H2465" i="12"/>
  <c r="K2465" i="12" s="1"/>
  <c r="A2464" i="12"/>
  <c r="A2463" i="12"/>
  <c r="A2462" i="12"/>
  <c r="A2461" i="12"/>
  <c r="H2460" i="12"/>
  <c r="K2460" i="12" s="1"/>
  <c r="H2459" i="12"/>
  <c r="K2459" i="12" s="1"/>
  <c r="H2458" i="12"/>
  <c r="K2458" i="12" s="1"/>
  <c r="A2457" i="12"/>
  <c r="A2456" i="12"/>
  <c r="J2455" i="12"/>
  <c r="F2455" i="12"/>
  <c r="H2455" i="12" s="1"/>
  <c r="F2453" i="12"/>
  <c r="H2453" i="12" s="1"/>
  <c r="J2452" i="12"/>
  <c r="F2452" i="12"/>
  <c r="H2452" i="12" s="1"/>
  <c r="H2451" i="12"/>
  <c r="K2451" i="12" s="1"/>
  <c r="A2450" i="12"/>
  <c r="F2449" i="12"/>
  <c r="F2447" i="12"/>
  <c r="H2447" i="12" s="1"/>
  <c r="J2446" i="12"/>
  <c r="F2446" i="12"/>
  <c r="H2445" i="12"/>
  <c r="K2445" i="12" s="1"/>
  <c r="A2444" i="12"/>
  <c r="A2443" i="12"/>
  <c r="A2442" i="12"/>
  <c r="A2441" i="12"/>
  <c r="H2440" i="12"/>
  <c r="K2440" i="12" s="1"/>
  <c r="H2439" i="12"/>
  <c r="K2439" i="12" s="1"/>
  <c r="H2438" i="12"/>
  <c r="K2438" i="12" s="1"/>
  <c r="H2437" i="12"/>
  <c r="K2437" i="12" s="1"/>
  <c r="H2436" i="12"/>
  <c r="K2436" i="12" s="1"/>
  <c r="H2435" i="12"/>
  <c r="K2435" i="12" s="1"/>
  <c r="A2434" i="12"/>
  <c r="A2433" i="12"/>
  <c r="J2432" i="12"/>
  <c r="F2432" i="12"/>
  <c r="H2432" i="12" s="1"/>
  <c r="H2431" i="12"/>
  <c r="K2431" i="12" s="1"/>
  <c r="A2430" i="12"/>
  <c r="A2429" i="12"/>
  <c r="J2428" i="12"/>
  <c r="F2428" i="12"/>
  <c r="H2428" i="12" s="1"/>
  <c r="H2427" i="12"/>
  <c r="K2427" i="12" s="1"/>
  <c r="A2426" i="12"/>
  <c r="A2425" i="12"/>
  <c r="F2424" i="12"/>
  <c r="H2424" i="12" s="1"/>
  <c r="K2424" i="12" s="1"/>
  <c r="F2423" i="12"/>
  <c r="H2423" i="12" s="1"/>
  <c r="F2422" i="12"/>
  <c r="H2422" i="12" s="1"/>
  <c r="K2422" i="12" s="1"/>
  <c r="J2421" i="12"/>
  <c r="F2421" i="12"/>
  <c r="H2421" i="12" s="1"/>
  <c r="H2420" i="12"/>
  <c r="K2420" i="12" s="1"/>
  <c r="A2419" i="12"/>
  <c r="A2418" i="12"/>
  <c r="H2417" i="12"/>
  <c r="K2417" i="12" s="1"/>
  <c r="H2416" i="12"/>
  <c r="K2416" i="12" s="1"/>
  <c r="A2415" i="12"/>
  <c r="A2414" i="12"/>
  <c r="F2412" i="12"/>
  <c r="H2412" i="12" s="1"/>
  <c r="F2411" i="12"/>
  <c r="H2411" i="12" s="1"/>
  <c r="J2410" i="12"/>
  <c r="F2410" i="12"/>
  <c r="H2410" i="12" s="1"/>
  <c r="H2409" i="12"/>
  <c r="K2409" i="12" s="1"/>
  <c r="A2408" i="12"/>
  <c r="A2407" i="12"/>
  <c r="F2405" i="12"/>
  <c r="H2405" i="12" s="1"/>
  <c r="F2404" i="12"/>
  <c r="H2404" i="12" s="1"/>
  <c r="J2403" i="12"/>
  <c r="F2403" i="12"/>
  <c r="H2402" i="12"/>
  <c r="K2402" i="12" s="1"/>
  <c r="A2401" i="12"/>
  <c r="F2399" i="12"/>
  <c r="H2399" i="12" s="1"/>
  <c r="F2398" i="12"/>
  <c r="H2398" i="12" s="1"/>
  <c r="J2397" i="12"/>
  <c r="F2397" i="12"/>
  <c r="H2397" i="12" s="1"/>
  <c r="H2396" i="12"/>
  <c r="K2396" i="12" s="1"/>
  <c r="A2395" i="12"/>
  <c r="F2393" i="12"/>
  <c r="H2393" i="12" s="1"/>
  <c r="F2392" i="12"/>
  <c r="H2392" i="12" s="1"/>
  <c r="J2391" i="12"/>
  <c r="F2391" i="12"/>
  <c r="H2390" i="12"/>
  <c r="K2390" i="12" s="1"/>
  <c r="A2389" i="12"/>
  <c r="A2388" i="12"/>
  <c r="A2387" i="12"/>
  <c r="A2386" i="12"/>
  <c r="A2385" i="12"/>
  <c r="J2384" i="12"/>
  <c r="F2384" i="12"/>
  <c r="H2384" i="12" s="1"/>
  <c r="J2383" i="12"/>
  <c r="F2383" i="12"/>
  <c r="H2383" i="12" s="1"/>
  <c r="J2382" i="12"/>
  <c r="F2382" i="12"/>
  <c r="J2381" i="12"/>
  <c r="F2381" i="12"/>
  <c r="J2380" i="12"/>
  <c r="F2380" i="12"/>
  <c r="F2379" i="12"/>
  <c r="H2379" i="12" s="1"/>
  <c r="A2378" i="12"/>
  <c r="A2377" i="12"/>
  <c r="A2376" i="12"/>
  <c r="J2375" i="12"/>
  <c r="F2375" i="12"/>
  <c r="H2375" i="12" s="1"/>
  <c r="J2374" i="12"/>
  <c r="F2374" i="12"/>
  <c r="J2373" i="12"/>
  <c r="F2373" i="12"/>
  <c r="H2373" i="12" s="1"/>
  <c r="A2372" i="12"/>
  <c r="A2371" i="12"/>
  <c r="F2370" i="12"/>
  <c r="H2370" i="12" s="1"/>
  <c r="K2370" i="12" s="1"/>
  <c r="J2369" i="12"/>
  <c r="F2369" i="12"/>
  <c r="H2369" i="12" s="1"/>
  <c r="J2368" i="12"/>
  <c r="F2368" i="12"/>
  <c r="A2367" i="12"/>
  <c r="A2366" i="12"/>
  <c r="J2365" i="12"/>
  <c r="F2365" i="12"/>
  <c r="F2363" i="12"/>
  <c r="F2362" i="12"/>
  <c r="H2362" i="12" s="1"/>
  <c r="K2362" i="12" s="1"/>
  <c r="J2361" i="12"/>
  <c r="F2361" i="12"/>
  <c r="F2360" i="12"/>
  <c r="A2359" i="12"/>
  <c r="A2358" i="12"/>
  <c r="A2357" i="12"/>
  <c r="A2356" i="12"/>
  <c r="A2355" i="12"/>
  <c r="A2354" i="12"/>
  <c r="H2353" i="12"/>
  <c r="K2353" i="12" s="1"/>
  <c r="H2352" i="12"/>
  <c r="K2352" i="12" s="1"/>
  <c r="A2351" i="12"/>
  <c r="A2350" i="12"/>
  <c r="H2349" i="12"/>
  <c r="K2349" i="12" s="1"/>
  <c r="A2348" i="12"/>
  <c r="A2347" i="12"/>
  <c r="H2346" i="12"/>
  <c r="K2346" i="12" s="1"/>
  <c r="H2345" i="12"/>
  <c r="K2345" i="12" s="1"/>
  <c r="H2344" i="12"/>
  <c r="K2344" i="12" s="1"/>
  <c r="H2343" i="12"/>
  <c r="K2343" i="12" s="1"/>
  <c r="H2342" i="12"/>
  <c r="K2342" i="12" s="1"/>
  <c r="A2341" i="12"/>
  <c r="A2340" i="12"/>
  <c r="H2339" i="12"/>
  <c r="K2339" i="12" s="1"/>
  <c r="A2338" i="12"/>
  <c r="A2337" i="12"/>
  <c r="H2336" i="12"/>
  <c r="K2336" i="12" s="1"/>
  <c r="A2335" i="12"/>
  <c r="A2334" i="12"/>
  <c r="H2333" i="12"/>
  <c r="K2333" i="12" s="1"/>
  <c r="H2332" i="12"/>
  <c r="K2332" i="12" s="1"/>
  <c r="A2331" i="12"/>
  <c r="A2330" i="12"/>
  <c r="H2329" i="12"/>
  <c r="K2329" i="12" s="1"/>
  <c r="H2328" i="12"/>
  <c r="K2328" i="12" s="1"/>
  <c r="A2327" i="12"/>
  <c r="A2326" i="12"/>
  <c r="F2325" i="12"/>
  <c r="F2324" i="12"/>
  <c r="H2324" i="12" s="1"/>
  <c r="K2324" i="12" s="1"/>
  <c r="H2323" i="12"/>
  <c r="K2323" i="12" s="1"/>
  <c r="A2322" i="12"/>
  <c r="A2321" i="12"/>
  <c r="H2320" i="12"/>
  <c r="K2320" i="12" s="1"/>
  <c r="A2319" i="12"/>
  <c r="A2318" i="12"/>
  <c r="J2317" i="12"/>
  <c r="F2317" i="12"/>
  <c r="F2316" i="12"/>
  <c r="H2316" i="12" s="1"/>
  <c r="K2316" i="12" s="1"/>
  <c r="H2315" i="12"/>
  <c r="K2315" i="12" s="1"/>
  <c r="A2314" i="12"/>
  <c r="J2313" i="12"/>
  <c r="F2313" i="12"/>
  <c r="H2312" i="12"/>
  <c r="K2312" i="12" s="1"/>
  <c r="A2311" i="12"/>
  <c r="A2310" i="12"/>
  <c r="A2309" i="12"/>
  <c r="A2308" i="12"/>
  <c r="A2307" i="12"/>
  <c r="J2306" i="12"/>
  <c r="F2305" i="12"/>
  <c r="H2305" i="12" s="1"/>
  <c r="K2305" i="12" s="1"/>
  <c r="A2304" i="12"/>
  <c r="J2303" i="12"/>
  <c r="F2303" i="12"/>
  <c r="J2302" i="12"/>
  <c r="F2302" i="12"/>
  <c r="H2302" i="12" s="1"/>
  <c r="J2301" i="12"/>
  <c r="F2301" i="12"/>
  <c r="J2300" i="12"/>
  <c r="H2300" i="12"/>
  <c r="J2299" i="12"/>
  <c r="F2299" i="12"/>
  <c r="H2299" i="12" s="1"/>
  <c r="A2298" i="12"/>
  <c r="A2297" i="12"/>
  <c r="J2296" i="12"/>
  <c r="F2296" i="12"/>
  <c r="H2296" i="12" s="1"/>
  <c r="J2295" i="12"/>
  <c r="F2295" i="12"/>
  <c r="J2294" i="12"/>
  <c r="F2294" i="12"/>
  <c r="J2293" i="12"/>
  <c r="H2293" i="12"/>
  <c r="J2292" i="12"/>
  <c r="F2292" i="12"/>
  <c r="H2292" i="12" s="1"/>
  <c r="A2291" i="12"/>
  <c r="A2290" i="12"/>
  <c r="J2289" i="12"/>
  <c r="F2289" i="12"/>
  <c r="H2289" i="12" s="1"/>
  <c r="J2288" i="12"/>
  <c r="F2288" i="12"/>
  <c r="H2288" i="12" s="1"/>
  <c r="J2287" i="12"/>
  <c r="F2287" i="12"/>
  <c r="H2287" i="12" s="1"/>
  <c r="F2286" i="12"/>
  <c r="F2285" i="12"/>
  <c r="H2285" i="12" s="1"/>
  <c r="K2285" i="12" s="1"/>
  <c r="A2284" i="12"/>
  <c r="A2283" i="12"/>
  <c r="A2282" i="12"/>
  <c r="A2281" i="12"/>
  <c r="A2280" i="12"/>
  <c r="A2279" i="12"/>
  <c r="H2278" i="12"/>
  <c r="K2278" i="12" s="1"/>
  <c r="J2277" i="12"/>
  <c r="H2277" i="12"/>
  <c r="J2276" i="12"/>
  <c r="H2276" i="12"/>
  <c r="J2275" i="12"/>
  <c r="H2275" i="12"/>
  <c r="H2274" i="12"/>
  <c r="K2274" i="12" s="1"/>
  <c r="F2273" i="12"/>
  <c r="H2272" i="12"/>
  <c r="K2272" i="12" s="1"/>
  <c r="J2271" i="12"/>
  <c r="H2271" i="12"/>
  <c r="A2270" i="12"/>
  <c r="A2269" i="12"/>
  <c r="A2268" i="12"/>
  <c r="A2267" i="12"/>
  <c r="A2266" i="12"/>
  <c r="J2265" i="12"/>
  <c r="H2265" i="12"/>
  <c r="J2264" i="12"/>
  <c r="F2264" i="12"/>
  <c r="J2263" i="12"/>
  <c r="F2263" i="12"/>
  <c r="H2263" i="12" s="1"/>
  <c r="J2262" i="12"/>
  <c r="F2262" i="12"/>
  <c r="H2261" i="12"/>
  <c r="D2261" i="12" s="1"/>
  <c r="A2260" i="12"/>
  <c r="A2259" i="12"/>
  <c r="A2258" i="12"/>
  <c r="A2257" i="12"/>
  <c r="H2256" i="12"/>
  <c r="K2256" i="12" s="1"/>
  <c r="A2255" i="12"/>
  <c r="H2254" i="12"/>
  <c r="K2254" i="12" s="1"/>
  <c r="D2254" i="12"/>
  <c r="A2253" i="12"/>
  <c r="H2252" i="12"/>
  <c r="D2252" i="12" s="1"/>
  <c r="A2251" i="12"/>
  <c r="K2250" i="12"/>
  <c r="H2250" i="12"/>
  <c r="D2250" i="12" s="1"/>
  <c r="A2249" i="12"/>
  <c r="A2248" i="12"/>
  <c r="A2247" i="12"/>
  <c r="A2246" i="12"/>
  <c r="J2245" i="12"/>
  <c r="H2245" i="12"/>
  <c r="J2244" i="12"/>
  <c r="F2244" i="12"/>
  <c r="J2243" i="12"/>
  <c r="F2243" i="12"/>
  <c r="H2243" i="12" s="1"/>
  <c r="J2242" i="12"/>
  <c r="F2242" i="12"/>
  <c r="H2242" i="12" s="1"/>
  <c r="H2241" i="12"/>
  <c r="D2241" i="12" s="1"/>
  <c r="A2240" i="12"/>
  <c r="A2239" i="12"/>
  <c r="A2238" i="12"/>
  <c r="A2237" i="12"/>
  <c r="A2236" i="12"/>
  <c r="H2235" i="12"/>
  <c r="K2235" i="12" s="1"/>
  <c r="J2234" i="12"/>
  <c r="J2233" i="12"/>
  <c r="J2232" i="12"/>
  <c r="F2232" i="12"/>
  <c r="H2232" i="12" s="1"/>
  <c r="F2231" i="12"/>
  <c r="F2234" i="12" s="1"/>
  <c r="H2234" i="12" s="1"/>
  <c r="H2230" i="12"/>
  <c r="K2230" i="12" s="1"/>
  <c r="A2229" i="12"/>
  <c r="A2228" i="12"/>
  <c r="A2227" i="12"/>
  <c r="A2226" i="12"/>
  <c r="A2225" i="12"/>
  <c r="H2224" i="12"/>
  <c r="K2224" i="12" s="1"/>
  <c r="F2223" i="12"/>
  <c r="H2223" i="12" s="1"/>
  <c r="K2223" i="12" s="1"/>
  <c r="F2222" i="12"/>
  <c r="F2221" i="12"/>
  <c r="H2221" i="12" s="1"/>
  <c r="K2221" i="12" s="1"/>
  <c r="F2220" i="12"/>
  <c r="H2219" i="12"/>
  <c r="A2218" i="12"/>
  <c r="A2217" i="12"/>
  <c r="A2216" i="12"/>
  <c r="A2215" i="12"/>
  <c r="F2214" i="12"/>
  <c r="H2214" i="12" s="1"/>
  <c r="K2214" i="12" s="1"/>
  <c r="F2213" i="12"/>
  <c r="H2213" i="12" s="1"/>
  <c r="K2213" i="12" s="1"/>
  <c r="H2212" i="12"/>
  <c r="K2212" i="12" s="1"/>
  <c r="A2211" i="12"/>
  <c r="A2210" i="12"/>
  <c r="A2209" i="12"/>
  <c r="A2208" i="12"/>
  <c r="F2207" i="12"/>
  <c r="H2207" i="12" s="1"/>
  <c r="K2207" i="12" s="1"/>
  <c r="H2206" i="12"/>
  <c r="K2206" i="12" s="1"/>
  <c r="F2205" i="12"/>
  <c r="A2204" i="12"/>
  <c r="H2203" i="12"/>
  <c r="K2203" i="12" s="1"/>
  <c r="H2202" i="12"/>
  <c r="K2202" i="12" s="1"/>
  <c r="A2201" i="12"/>
  <c r="H2200" i="12"/>
  <c r="H2199" i="12"/>
  <c r="H2198" i="12"/>
  <c r="H2197" i="12"/>
  <c r="K2197" i="12" s="1"/>
  <c r="A2196" i="12"/>
  <c r="H2195" i="12"/>
  <c r="K2195" i="12" s="1"/>
  <c r="H2194" i="12"/>
  <c r="K2194" i="12" s="1"/>
  <c r="H2193" i="12"/>
  <c r="K2193" i="12" s="1"/>
  <c r="H2192" i="12"/>
  <c r="K2192" i="12" s="1"/>
  <c r="H2191" i="12"/>
  <c r="K2191" i="12" s="1"/>
  <c r="H2190" i="12"/>
  <c r="K2190" i="12" s="1"/>
  <c r="H2189" i="12"/>
  <c r="K2189" i="12" s="1"/>
  <c r="H2188" i="12"/>
  <c r="K2188" i="12" s="1"/>
  <c r="H2187" i="12"/>
  <c r="K2187" i="12" s="1"/>
  <c r="H2186" i="12"/>
  <c r="K2186" i="12" s="1"/>
  <c r="J2185" i="12"/>
  <c r="H2185" i="12"/>
  <c r="J2184" i="12"/>
  <c r="H2184" i="12"/>
  <c r="J2183" i="12"/>
  <c r="H2183" i="12"/>
  <c r="H2182" i="12"/>
  <c r="K2182" i="12" s="1"/>
  <c r="J2181" i="12"/>
  <c r="H2181" i="12"/>
  <c r="J2180" i="12"/>
  <c r="H2180" i="12"/>
  <c r="J2179" i="12"/>
  <c r="H2179" i="12"/>
  <c r="J2178" i="12"/>
  <c r="H2178" i="12"/>
  <c r="J2177" i="12"/>
  <c r="H2177" i="12"/>
  <c r="J2176" i="12"/>
  <c r="H2176" i="12"/>
  <c r="H2175" i="12"/>
  <c r="K2175" i="12" s="1"/>
  <c r="J2174" i="12"/>
  <c r="H2174" i="12"/>
  <c r="H2173" i="12"/>
  <c r="K2173" i="12" s="1"/>
  <c r="H2172" i="12"/>
  <c r="K2172" i="12" s="1"/>
  <c r="J2171" i="12"/>
  <c r="H2171" i="12"/>
  <c r="F2170" i="12"/>
  <c r="H2170" i="12" s="1"/>
  <c r="K2170" i="12" s="1"/>
  <c r="J2169" i="12"/>
  <c r="H2169" i="12"/>
  <c r="F2168" i="12"/>
  <c r="H2168" i="12" s="1"/>
  <c r="K2168" i="12" s="1"/>
  <c r="J2167" i="12"/>
  <c r="H2167" i="12"/>
  <c r="J2166" i="12"/>
  <c r="H2166" i="12"/>
  <c r="H2165" i="12"/>
  <c r="K2165" i="12" s="1"/>
  <c r="J2164" i="12"/>
  <c r="H2164" i="12"/>
  <c r="J2163" i="12"/>
  <c r="H2163" i="12"/>
  <c r="H2162" i="12"/>
  <c r="K2162" i="12" s="1"/>
  <c r="J2161" i="12"/>
  <c r="H2161" i="12"/>
  <c r="J2160" i="12"/>
  <c r="H2160" i="12"/>
  <c r="J2159" i="12"/>
  <c r="H2159" i="12"/>
  <c r="K2159" i="12" s="1"/>
  <c r="J2158" i="12"/>
  <c r="H2158" i="12"/>
  <c r="H2157" i="12"/>
  <c r="K2157" i="12" s="1"/>
  <c r="J2156" i="12"/>
  <c r="H2156" i="12"/>
  <c r="J2155" i="12"/>
  <c r="H2155" i="12"/>
  <c r="H2154" i="12"/>
  <c r="K2154" i="12" s="1"/>
  <c r="H2153" i="12"/>
  <c r="K2153" i="12" s="1"/>
  <c r="H2152" i="12"/>
  <c r="K2152" i="12" s="1"/>
  <c r="H2151" i="12"/>
  <c r="K2151" i="12" s="1"/>
  <c r="H2150" i="12"/>
  <c r="K2150" i="12" s="1"/>
  <c r="H2149" i="12"/>
  <c r="K2149" i="12" s="1"/>
  <c r="A2148" i="12"/>
  <c r="A2147" i="12"/>
  <c r="A2146" i="12"/>
  <c r="A2145" i="12"/>
  <c r="A2144" i="12"/>
  <c r="H2143" i="12"/>
  <c r="K2143" i="12" s="1"/>
  <c r="A2142" i="12"/>
  <c r="J2141" i="12"/>
  <c r="H2141" i="12"/>
  <c r="A2140" i="12"/>
  <c r="J2139" i="12"/>
  <c r="H2139" i="12"/>
  <c r="A2138" i="12"/>
  <c r="J2137" i="12"/>
  <c r="H2137" i="12"/>
  <c r="A2136" i="12"/>
  <c r="A2135" i="12"/>
  <c r="A2134" i="12"/>
  <c r="H2133" i="12"/>
  <c r="K2133" i="12" s="1"/>
  <c r="A2132" i="12"/>
  <c r="H2131" i="12"/>
  <c r="K2131" i="12" s="1"/>
  <c r="A2130" i="12"/>
  <c r="H2129" i="12"/>
  <c r="K2129" i="12" s="1"/>
  <c r="A2128" i="12"/>
  <c r="H2127" i="12"/>
  <c r="K2127" i="12" s="1"/>
  <c r="A2126" i="12"/>
  <c r="H2125" i="12"/>
  <c r="K2125" i="12" s="1"/>
  <c r="A2124" i="12"/>
  <c r="H2123" i="12"/>
  <c r="K2123" i="12" s="1"/>
  <c r="A2122" i="12"/>
  <c r="A2121" i="12"/>
  <c r="A2120" i="12"/>
  <c r="A2119" i="12"/>
  <c r="A2117" i="12"/>
  <c r="A2116" i="12"/>
  <c r="J2115" i="12"/>
  <c r="F2115" i="12"/>
  <c r="H2115" i="12" s="1"/>
  <c r="J2114" i="12"/>
  <c r="F2114" i="12"/>
  <c r="H2114" i="12" s="1"/>
  <c r="J2113" i="12"/>
  <c r="F2113" i="12"/>
  <c r="A2112" i="12"/>
  <c r="A2111" i="12"/>
  <c r="F2110" i="12"/>
  <c r="H2110" i="12" s="1"/>
  <c r="K2110" i="12" s="1"/>
  <c r="F2109" i="12"/>
  <c r="H2109" i="12" s="1"/>
  <c r="K2109" i="12" s="1"/>
  <c r="F2108" i="12"/>
  <c r="H2108" i="12" s="1"/>
  <c r="K2108" i="12" s="1"/>
  <c r="F2107" i="12"/>
  <c r="H2107" i="12" s="1"/>
  <c r="K2107" i="12" s="1"/>
  <c r="F2106" i="12"/>
  <c r="H2106" i="12" s="1"/>
  <c r="K2106" i="12" s="1"/>
  <c r="F2105" i="12"/>
  <c r="H2105" i="12" s="1"/>
  <c r="K2105" i="12" s="1"/>
  <c r="A2104" i="12"/>
  <c r="A2103" i="12"/>
  <c r="H2102" i="12"/>
  <c r="K2102" i="12" s="1"/>
  <c r="A2101" i="12"/>
  <c r="A2100" i="12"/>
  <c r="H2099" i="12"/>
  <c r="K2099" i="12" s="1"/>
  <c r="A2098" i="12"/>
  <c r="A2097" i="12"/>
  <c r="A2091" i="12"/>
  <c r="A2090" i="12"/>
  <c r="F2089" i="12"/>
  <c r="H2089" i="12" s="1"/>
  <c r="J2088" i="12"/>
  <c r="H2088" i="12"/>
  <c r="J2087" i="12"/>
  <c r="F2087" i="12"/>
  <c r="H2087" i="12" s="1"/>
  <c r="J2086" i="12"/>
  <c r="F2086" i="12"/>
  <c r="J2085" i="12"/>
  <c r="J2084" i="12"/>
  <c r="F2084" i="12"/>
  <c r="F2085" i="12" s="1"/>
  <c r="H2085" i="12" s="1"/>
  <c r="J2083" i="12"/>
  <c r="H2083" i="12"/>
  <c r="H2082" i="12"/>
  <c r="A2081" i="12"/>
  <c r="F2080" i="12"/>
  <c r="H2080" i="12" s="1"/>
  <c r="K2080" i="12" s="1"/>
  <c r="F2079" i="12"/>
  <c r="H2079" i="12" s="1"/>
  <c r="K2079" i="12" s="1"/>
  <c r="J2078" i="12"/>
  <c r="H2078" i="12"/>
  <c r="J2077" i="12"/>
  <c r="F2077" i="12"/>
  <c r="J2076" i="12"/>
  <c r="F2076" i="12"/>
  <c r="H2076" i="12" s="1"/>
  <c r="J2075" i="12"/>
  <c r="F2075" i="12"/>
  <c r="H2075" i="12" s="1"/>
  <c r="J2074" i="12"/>
  <c r="F2074" i="12"/>
  <c r="H2074" i="12" s="1"/>
  <c r="A2073" i="12"/>
  <c r="J2072" i="12"/>
  <c r="H2072" i="12"/>
  <c r="H2071" i="12"/>
  <c r="A2070" i="12"/>
  <c r="A2069" i="12"/>
  <c r="J2068" i="12"/>
  <c r="F2068" i="12"/>
  <c r="H2068" i="12" s="1"/>
  <c r="J2067" i="12"/>
  <c r="F2067" i="12"/>
  <c r="H2067" i="12" s="1"/>
  <c r="J2066" i="12"/>
  <c r="F2066" i="12"/>
  <c r="A2065" i="12"/>
  <c r="J2064" i="12"/>
  <c r="F2064" i="12"/>
  <c r="H2064" i="12" s="1"/>
  <c r="J2063" i="12"/>
  <c r="F2063" i="12"/>
  <c r="H2063" i="12" s="1"/>
  <c r="J2062" i="12"/>
  <c r="F2062" i="12"/>
  <c r="H2062" i="12" s="1"/>
  <c r="J2061" i="12"/>
  <c r="F2061" i="12"/>
  <c r="H2061" i="12" s="1"/>
  <c r="A2060" i="12"/>
  <c r="J2059" i="12"/>
  <c r="F2059" i="12"/>
  <c r="H2059" i="12" s="1"/>
  <c r="J2058" i="12"/>
  <c r="F2058" i="12"/>
  <c r="H2058" i="12" s="1"/>
  <c r="J2057" i="12"/>
  <c r="F2057" i="12"/>
  <c r="H2057" i="12" s="1"/>
  <c r="J2056" i="12"/>
  <c r="F2056" i="12"/>
  <c r="H2056" i="12" s="1"/>
  <c r="A2055" i="12"/>
  <c r="J2054" i="12"/>
  <c r="F2054" i="12"/>
  <c r="J2053" i="12"/>
  <c r="F2053" i="12"/>
  <c r="H2053" i="12" s="1"/>
  <c r="J2052" i="12"/>
  <c r="F2052" i="12"/>
  <c r="H2052" i="12" s="1"/>
  <c r="J2051" i="12"/>
  <c r="F2051" i="12"/>
  <c r="H2051" i="12" s="1"/>
  <c r="J2050" i="12"/>
  <c r="F2050" i="12"/>
  <c r="H2050" i="12" s="1"/>
  <c r="J2049" i="12"/>
  <c r="F2049" i="12"/>
  <c r="H2049" i="12" s="1"/>
  <c r="A2048" i="12"/>
  <c r="J2047" i="12"/>
  <c r="F2047" i="12"/>
  <c r="H2047" i="12" s="1"/>
  <c r="J2046" i="12"/>
  <c r="F2046" i="12"/>
  <c r="H2046" i="12" s="1"/>
  <c r="J2045" i="12"/>
  <c r="F2045" i="12"/>
  <c r="H2045" i="12" s="1"/>
  <c r="J2044" i="12"/>
  <c r="F2044" i="12"/>
  <c r="H2044" i="12" s="1"/>
  <c r="J2043" i="12"/>
  <c r="F2043" i="12"/>
  <c r="H2043" i="12" s="1"/>
  <c r="J2042" i="12"/>
  <c r="F2042" i="12"/>
  <c r="A2041" i="12"/>
  <c r="J2040" i="12"/>
  <c r="F2040" i="12"/>
  <c r="H2040" i="12" s="1"/>
  <c r="J2039" i="12"/>
  <c r="F2039" i="12"/>
  <c r="H2039" i="12" s="1"/>
  <c r="J2038" i="12"/>
  <c r="F2038" i="12"/>
  <c r="H2038" i="12" s="1"/>
  <c r="J2037" i="12"/>
  <c r="F2037" i="12"/>
  <c r="H2037" i="12" s="1"/>
  <c r="A2036" i="12"/>
  <c r="J2035" i="12"/>
  <c r="F2035" i="12"/>
  <c r="H2035" i="12" s="1"/>
  <c r="J2034" i="12"/>
  <c r="F2034" i="12"/>
  <c r="H2034" i="12" s="1"/>
  <c r="J2033" i="12"/>
  <c r="F2033" i="12"/>
  <c r="H2033" i="12" s="1"/>
  <c r="J2032" i="12"/>
  <c r="F2032" i="12"/>
  <c r="H2032" i="12" s="1"/>
  <c r="A2031" i="12"/>
  <c r="J2030" i="12"/>
  <c r="F2030" i="12"/>
  <c r="J2029" i="12"/>
  <c r="F2029" i="12"/>
  <c r="H2029" i="12" s="1"/>
  <c r="J2028" i="12"/>
  <c r="F2028" i="12"/>
  <c r="J2027" i="12"/>
  <c r="F2027" i="12"/>
  <c r="H2027" i="12" s="1"/>
  <c r="J2026" i="12"/>
  <c r="F2026" i="12"/>
  <c r="H2026" i="12" s="1"/>
  <c r="A2025" i="12"/>
  <c r="J2024" i="12"/>
  <c r="F2024" i="12"/>
  <c r="H2024" i="12" s="1"/>
  <c r="J2023" i="12"/>
  <c r="F2023" i="12"/>
  <c r="J2022" i="12"/>
  <c r="F2022" i="12"/>
  <c r="J2021" i="12"/>
  <c r="F2021" i="12"/>
  <c r="H2021" i="12" s="1"/>
  <c r="J2020" i="12"/>
  <c r="F2020" i="12"/>
  <c r="A2019" i="12"/>
  <c r="A2018" i="12"/>
  <c r="A2017" i="12"/>
  <c r="J2016" i="12"/>
  <c r="F2016" i="12"/>
  <c r="H2016" i="12" s="1"/>
  <c r="J2015" i="12"/>
  <c r="F2015" i="12"/>
  <c r="J2014" i="12"/>
  <c r="F2014" i="12"/>
  <c r="H2014" i="12" s="1"/>
  <c r="B2014" i="12"/>
  <c r="B2015" i="12" s="1"/>
  <c r="B2016" i="12" s="1"/>
  <c r="J2013" i="12"/>
  <c r="H2013" i="12"/>
  <c r="A2012" i="12"/>
  <c r="A2011" i="12"/>
  <c r="J2010" i="12"/>
  <c r="H2010" i="12"/>
  <c r="A2009" i="12"/>
  <c r="A2008" i="12"/>
  <c r="J2007" i="12"/>
  <c r="F2007" i="12"/>
  <c r="J2006" i="12"/>
  <c r="F2006" i="12"/>
  <c r="H2006" i="12" s="1"/>
  <c r="J2005" i="12"/>
  <c r="F2005" i="12"/>
  <c r="J2004" i="12"/>
  <c r="H2004" i="12"/>
  <c r="J2003" i="12"/>
  <c r="H2003" i="12"/>
  <c r="H2002" i="12"/>
  <c r="K2002" i="12" s="1"/>
  <c r="A2001" i="12"/>
  <c r="J2000" i="12"/>
  <c r="F2000" i="12"/>
  <c r="H2000" i="12" s="1"/>
  <c r="J1999" i="12"/>
  <c r="F1999" i="12"/>
  <c r="H1999" i="12" s="1"/>
  <c r="J1998" i="12"/>
  <c r="H1998" i="12"/>
  <c r="H1997" i="12"/>
  <c r="H1996" i="12"/>
  <c r="A1995" i="12"/>
  <c r="A1994" i="12"/>
  <c r="A1993" i="12"/>
  <c r="J1992" i="12"/>
  <c r="F1992" i="12"/>
  <c r="H1992" i="12" s="1"/>
  <c r="J1991" i="12"/>
  <c r="F1991" i="12"/>
  <c r="J1990" i="12"/>
  <c r="F1990" i="12"/>
  <c r="H1990" i="12" s="1"/>
  <c r="J1989" i="12"/>
  <c r="F1989" i="12"/>
  <c r="H1989" i="12" s="1"/>
  <c r="A1988" i="12"/>
  <c r="J1987" i="12"/>
  <c r="F1987" i="12"/>
  <c r="H1987" i="12" s="1"/>
  <c r="J1986" i="12"/>
  <c r="F1986" i="12"/>
  <c r="J1985" i="12"/>
  <c r="F1985" i="12"/>
  <c r="J1984" i="12"/>
  <c r="F1984" i="12"/>
  <c r="H1984" i="12" s="1"/>
  <c r="A1983" i="12"/>
  <c r="J1982" i="12"/>
  <c r="F1982" i="12"/>
  <c r="J1981" i="12"/>
  <c r="F1981" i="12"/>
  <c r="J1980" i="12"/>
  <c r="F1980" i="12"/>
  <c r="H1980" i="12" s="1"/>
  <c r="J1979" i="12"/>
  <c r="F1979" i="12"/>
  <c r="A1978" i="12"/>
  <c r="J1977" i="12"/>
  <c r="F1977" i="12"/>
  <c r="H1977" i="12" s="1"/>
  <c r="J1976" i="12"/>
  <c r="F1976" i="12"/>
  <c r="H1976" i="12" s="1"/>
  <c r="J1975" i="12"/>
  <c r="F1975" i="12"/>
  <c r="J1974" i="12"/>
  <c r="F1974" i="12"/>
  <c r="A1973" i="12"/>
  <c r="J1972" i="12"/>
  <c r="F1972" i="12"/>
  <c r="H1972" i="12" s="1"/>
  <c r="J1971" i="12"/>
  <c r="F1971" i="12"/>
  <c r="H1971" i="12" s="1"/>
  <c r="J1970" i="12"/>
  <c r="F1970" i="12"/>
  <c r="H1970" i="12" s="1"/>
  <c r="J1969" i="12"/>
  <c r="F1969" i="12"/>
  <c r="H1969" i="12" s="1"/>
  <c r="A1968" i="12"/>
  <c r="J1967" i="12"/>
  <c r="F1967" i="12"/>
  <c r="H1967" i="12" s="1"/>
  <c r="J1966" i="12"/>
  <c r="F1966" i="12"/>
  <c r="H1966" i="12" s="1"/>
  <c r="J1965" i="12"/>
  <c r="F1965" i="12"/>
  <c r="J1964" i="12"/>
  <c r="F1964" i="12"/>
  <c r="H1964" i="12" s="1"/>
  <c r="A1963" i="12"/>
  <c r="J1962" i="12"/>
  <c r="F1962" i="12"/>
  <c r="H1962" i="12" s="1"/>
  <c r="J1961" i="12"/>
  <c r="F1961" i="12"/>
  <c r="J1960" i="12"/>
  <c r="F1960" i="12"/>
  <c r="H1960" i="12" s="1"/>
  <c r="J1959" i="12"/>
  <c r="F1959" i="12"/>
  <c r="H1959" i="12" s="1"/>
  <c r="A1958" i="12"/>
  <c r="A1957" i="12"/>
  <c r="A1956" i="12"/>
  <c r="J1955" i="12"/>
  <c r="F1955" i="12"/>
  <c r="H1955" i="12" s="1"/>
  <c r="J1954" i="12"/>
  <c r="F1954" i="12"/>
  <c r="H1954" i="12" s="1"/>
  <c r="J1953" i="12"/>
  <c r="F1953" i="12"/>
  <c r="J1952" i="12"/>
  <c r="F1952" i="12"/>
  <c r="H1952" i="12" s="1"/>
  <c r="J1951" i="12"/>
  <c r="F1951" i="12"/>
  <c r="J1950" i="12"/>
  <c r="F1950" i="12"/>
  <c r="H1950" i="12" s="1"/>
  <c r="J1949" i="12"/>
  <c r="F1949" i="12"/>
  <c r="H1949" i="12" s="1"/>
  <c r="A1948" i="12"/>
  <c r="J1947" i="12"/>
  <c r="F1947" i="12"/>
  <c r="J1946" i="12"/>
  <c r="F1946" i="12"/>
  <c r="J1945" i="12"/>
  <c r="F1945" i="12"/>
  <c r="H1945" i="12" s="1"/>
  <c r="J1944" i="12"/>
  <c r="F1944" i="12"/>
  <c r="H1944" i="12" s="1"/>
  <c r="J1943" i="12"/>
  <c r="F1943" i="12"/>
  <c r="H1943" i="12" s="1"/>
  <c r="J1942" i="12"/>
  <c r="F1942" i="12"/>
  <c r="J1941" i="12"/>
  <c r="F1941" i="12"/>
  <c r="J1940" i="12"/>
  <c r="F1940" i="12"/>
  <c r="H1940" i="12" s="1"/>
  <c r="A1939" i="12"/>
  <c r="J1938" i="12"/>
  <c r="F1938" i="12"/>
  <c r="H1938" i="12" s="1"/>
  <c r="J1937" i="12"/>
  <c r="F1937" i="12"/>
  <c r="H1937" i="12" s="1"/>
  <c r="J1936" i="12"/>
  <c r="F1936" i="12"/>
  <c r="H1936" i="12" s="1"/>
  <c r="J1935" i="12"/>
  <c r="F1935" i="12"/>
  <c r="H1935" i="12" s="1"/>
  <c r="J1934" i="12"/>
  <c r="F1934" i="12"/>
  <c r="H1934" i="12" s="1"/>
  <c r="J1933" i="12"/>
  <c r="F1933" i="12"/>
  <c r="H1933" i="12" s="1"/>
  <c r="J1932" i="12"/>
  <c r="F1932" i="12"/>
  <c r="H1932" i="12" s="1"/>
  <c r="A1931" i="12"/>
  <c r="A1930" i="12"/>
  <c r="A1929" i="12"/>
  <c r="H1928" i="12"/>
  <c r="K1928" i="12" s="1"/>
  <c r="A1927" i="12"/>
  <c r="A1926" i="12"/>
  <c r="F1925" i="12"/>
  <c r="H1925" i="12" s="1"/>
  <c r="K1925" i="12" s="1"/>
  <c r="J1924" i="12"/>
  <c r="F1924" i="12"/>
  <c r="H1924" i="12" s="1"/>
  <c r="A1923" i="12"/>
  <c r="A1922" i="12"/>
  <c r="J1921" i="12"/>
  <c r="F1921" i="12"/>
  <c r="H1921" i="12" s="1"/>
  <c r="J1920" i="12"/>
  <c r="F1920" i="12"/>
  <c r="H1920" i="12" s="1"/>
  <c r="J1919" i="12"/>
  <c r="F1919" i="12"/>
  <c r="H1919" i="12" s="1"/>
  <c r="J1918" i="12"/>
  <c r="F1918" i="12"/>
  <c r="A1917" i="12"/>
  <c r="J1916" i="12"/>
  <c r="F1916" i="12"/>
  <c r="H1916" i="12" s="1"/>
  <c r="J1915" i="12"/>
  <c r="F1915" i="12"/>
  <c r="J1914" i="12"/>
  <c r="F1914" i="12"/>
  <c r="J1913" i="12"/>
  <c r="F1913" i="12"/>
  <c r="H1913" i="12" s="1"/>
  <c r="J1912" i="12"/>
  <c r="F1912" i="12"/>
  <c r="A1911" i="12"/>
  <c r="J1910" i="12"/>
  <c r="F1910" i="12"/>
  <c r="H1910" i="12" s="1"/>
  <c r="J1909" i="12"/>
  <c r="F1909" i="12"/>
  <c r="H1909" i="12" s="1"/>
  <c r="F1908" i="12"/>
  <c r="H1908" i="12" s="1"/>
  <c r="K1908" i="12" s="1"/>
  <c r="J1907" i="12"/>
  <c r="F1907" i="12"/>
  <c r="H1907" i="12" s="1"/>
  <c r="A1906" i="12"/>
  <c r="A1905" i="12"/>
  <c r="A1904" i="12"/>
  <c r="J1903" i="12"/>
  <c r="F1903" i="12"/>
  <c r="J1902" i="12"/>
  <c r="F1902" i="12"/>
  <c r="H1902" i="12" s="1"/>
  <c r="J1901" i="12"/>
  <c r="F1901" i="12"/>
  <c r="H1901" i="12" s="1"/>
  <c r="A1900" i="12"/>
  <c r="A1899" i="12"/>
  <c r="J1898" i="12"/>
  <c r="F1898" i="12"/>
  <c r="H1898" i="12" s="1"/>
  <c r="J1897" i="12"/>
  <c r="F1897" i="12"/>
  <c r="J1896" i="12"/>
  <c r="F1896" i="12"/>
  <c r="H1896" i="12" s="1"/>
  <c r="B1896" i="12"/>
  <c r="B1897" i="12" s="1"/>
  <c r="B1898" i="12" s="1"/>
  <c r="J1895" i="12"/>
  <c r="H1895" i="12"/>
  <c r="A1894" i="12"/>
  <c r="A1893" i="12"/>
  <c r="J1892" i="12"/>
  <c r="F1892" i="12"/>
  <c r="H1892" i="12" s="1"/>
  <c r="J1891" i="12"/>
  <c r="F1891" i="12"/>
  <c r="H1891" i="12" s="1"/>
  <c r="J1890" i="12"/>
  <c r="J1889" i="12"/>
  <c r="F1889" i="12"/>
  <c r="J1888" i="12"/>
  <c r="H1888" i="12"/>
  <c r="H1887" i="12"/>
  <c r="K1887" i="12" s="1"/>
  <c r="A1886" i="12"/>
  <c r="J1885" i="12"/>
  <c r="F1885" i="12"/>
  <c r="H1885" i="12" s="1"/>
  <c r="J1884" i="12"/>
  <c r="F1884" i="12"/>
  <c r="H1884" i="12" s="1"/>
  <c r="J1883" i="12"/>
  <c r="H1883" i="12"/>
  <c r="H1882" i="12"/>
  <c r="K1882" i="12" s="1"/>
  <c r="H1881" i="12"/>
  <c r="D1881" i="12" s="1"/>
  <c r="A1880" i="12"/>
  <c r="J1879" i="12"/>
  <c r="F1879" i="12"/>
  <c r="H1879" i="12" s="1"/>
  <c r="J1878" i="12"/>
  <c r="J1877" i="12"/>
  <c r="F1877" i="12"/>
  <c r="F1878" i="12" s="1"/>
  <c r="H1878" i="12" s="1"/>
  <c r="J1876" i="12"/>
  <c r="H1876" i="12"/>
  <c r="H1875" i="12"/>
  <c r="A1874" i="12"/>
  <c r="J1873" i="12"/>
  <c r="F1873" i="12"/>
  <c r="J1872" i="12"/>
  <c r="F1872" i="12"/>
  <c r="H1872" i="12" s="1"/>
  <c r="H1871" i="12"/>
  <c r="K1871" i="12" s="1"/>
  <c r="H1870" i="12"/>
  <c r="K1870" i="12" s="1"/>
  <c r="H1869" i="12"/>
  <c r="K1869" i="12" s="1"/>
  <c r="A1868" i="12"/>
  <c r="A1867" i="12"/>
  <c r="A1866" i="12"/>
  <c r="J1865" i="12"/>
  <c r="F1865" i="12"/>
  <c r="H1865" i="12" s="1"/>
  <c r="J1864" i="12"/>
  <c r="F1864" i="12"/>
  <c r="H1864" i="12" s="1"/>
  <c r="F1863" i="12"/>
  <c r="H1863" i="12" s="1"/>
  <c r="K1863" i="12" s="1"/>
  <c r="F1862" i="12"/>
  <c r="H1862" i="12" s="1"/>
  <c r="A1861" i="12"/>
  <c r="A1860" i="12"/>
  <c r="J1859" i="12"/>
  <c r="F1859" i="12"/>
  <c r="H1859" i="12" s="1"/>
  <c r="J1858" i="12"/>
  <c r="F1858" i="12"/>
  <c r="H1858" i="12" s="1"/>
  <c r="J1857" i="12"/>
  <c r="F1857" i="12"/>
  <c r="H1857" i="12" s="1"/>
  <c r="F1856" i="12"/>
  <c r="A1855" i="12"/>
  <c r="A1854" i="12"/>
  <c r="J1853" i="12"/>
  <c r="F1853" i="12"/>
  <c r="H1853" i="12" s="1"/>
  <c r="J1852" i="12"/>
  <c r="F1852" i="12"/>
  <c r="H1852" i="12" s="1"/>
  <c r="H1851" i="12"/>
  <c r="K1851" i="12" s="1"/>
  <c r="J1850" i="12"/>
  <c r="A1848" i="12"/>
  <c r="J1847" i="12"/>
  <c r="F1846" i="12"/>
  <c r="F1847" i="12" s="1"/>
  <c r="H1847" i="12" s="1"/>
  <c r="F1845" i="12"/>
  <c r="F1849" i="12" s="1"/>
  <c r="F1844" i="12"/>
  <c r="H1844" i="12" s="1"/>
  <c r="K1844" i="12" s="1"/>
  <c r="H1843" i="12"/>
  <c r="K1843" i="12" s="1"/>
  <c r="J1842" i="12"/>
  <c r="F1842" i="12"/>
  <c r="H1842" i="12" s="1"/>
  <c r="H1841" i="12"/>
  <c r="A1840" i="12"/>
  <c r="A1839" i="12"/>
  <c r="J1838" i="12"/>
  <c r="F1838" i="12"/>
  <c r="H1838" i="12" s="1"/>
  <c r="J1837" i="12"/>
  <c r="F1837" i="12"/>
  <c r="H1837" i="12" s="1"/>
  <c r="F1836" i="12"/>
  <c r="H1836" i="12" s="1"/>
  <c r="K1836" i="12" s="1"/>
  <c r="J1835" i="12"/>
  <c r="F1835" i="12"/>
  <c r="H1835" i="12" s="1"/>
  <c r="A1834" i="12"/>
  <c r="J1833" i="12"/>
  <c r="F1833" i="12"/>
  <c r="J1832" i="12"/>
  <c r="F1832" i="12"/>
  <c r="H1832" i="12" s="1"/>
  <c r="J1831" i="12"/>
  <c r="F1831" i="12"/>
  <c r="H1831" i="12" s="1"/>
  <c r="J1830" i="12"/>
  <c r="F1830" i="12"/>
  <c r="H1830" i="12" s="1"/>
  <c r="A1829" i="12"/>
  <c r="J1828" i="12"/>
  <c r="F1828" i="12"/>
  <c r="H1828" i="12" s="1"/>
  <c r="J1827" i="12"/>
  <c r="F1827" i="12"/>
  <c r="H1827" i="12" s="1"/>
  <c r="F1826" i="12"/>
  <c r="H1826" i="12" s="1"/>
  <c r="K1826" i="12" s="1"/>
  <c r="J1825" i="12"/>
  <c r="F1825" i="12"/>
  <c r="A1824" i="12"/>
  <c r="A1823" i="12"/>
  <c r="A1822" i="12"/>
  <c r="J1821" i="12"/>
  <c r="H1821" i="12"/>
  <c r="A1820" i="12"/>
  <c r="J1819" i="12"/>
  <c r="F1819" i="12"/>
  <c r="J1818" i="12"/>
  <c r="F1818" i="12"/>
  <c r="H1818" i="12" s="1"/>
  <c r="J1817" i="12"/>
  <c r="F1817" i="12"/>
  <c r="H1817" i="12" s="1"/>
  <c r="J1816" i="12"/>
  <c r="F1816" i="12"/>
  <c r="H1816" i="12" s="1"/>
  <c r="J1815" i="12"/>
  <c r="F1815" i="12"/>
  <c r="J1814" i="12"/>
  <c r="F1814" i="12"/>
  <c r="H1814" i="12" s="1"/>
  <c r="J1813" i="12"/>
  <c r="F1813" i="12"/>
  <c r="H1813" i="12" s="1"/>
  <c r="A1812" i="12"/>
  <c r="J1811" i="12"/>
  <c r="F1811" i="12"/>
  <c r="J1810" i="12"/>
  <c r="F1810" i="12"/>
  <c r="H1810" i="12" s="1"/>
  <c r="J1809" i="12"/>
  <c r="F1809" i="12"/>
  <c r="H1809" i="12" s="1"/>
  <c r="J1808" i="12"/>
  <c r="F1808" i="12"/>
  <c r="H1808" i="12" s="1"/>
  <c r="J1807" i="12"/>
  <c r="F1807" i="12"/>
  <c r="J1806" i="12"/>
  <c r="F1806" i="12"/>
  <c r="H1806" i="12" s="1"/>
  <c r="J1805" i="12"/>
  <c r="F1805" i="12"/>
  <c r="H1805" i="12" s="1"/>
  <c r="J1804" i="12"/>
  <c r="F1804" i="12"/>
  <c r="H1804" i="12" s="1"/>
  <c r="A1803" i="12"/>
  <c r="J1802" i="12"/>
  <c r="F1802" i="12"/>
  <c r="H1802" i="12" s="1"/>
  <c r="J1801" i="12"/>
  <c r="F1801" i="12"/>
  <c r="H1801" i="12" s="1"/>
  <c r="J1800" i="12"/>
  <c r="F1800" i="12"/>
  <c r="H1800" i="12" s="1"/>
  <c r="J1799" i="12"/>
  <c r="F1799" i="12"/>
  <c r="J1798" i="12"/>
  <c r="F1798" i="12"/>
  <c r="H1798" i="12" s="1"/>
  <c r="J1797" i="12"/>
  <c r="F1797" i="12"/>
  <c r="H1797" i="12" s="1"/>
  <c r="J1796" i="12"/>
  <c r="F1796" i="12"/>
  <c r="H1796" i="12" s="1"/>
  <c r="A1795" i="12"/>
  <c r="J1794" i="12"/>
  <c r="F1794" i="12"/>
  <c r="H1794" i="12" s="1"/>
  <c r="J1793" i="12"/>
  <c r="F1793" i="12"/>
  <c r="H1793" i="12" s="1"/>
  <c r="J1792" i="12"/>
  <c r="F1792" i="12"/>
  <c r="H1792" i="12" s="1"/>
  <c r="J1791" i="12"/>
  <c r="F1791" i="12"/>
  <c r="J1790" i="12"/>
  <c r="F1790" i="12"/>
  <c r="H1790" i="12" s="1"/>
  <c r="J1789" i="12"/>
  <c r="F1789" i="12"/>
  <c r="H1789" i="12" s="1"/>
  <c r="J1788" i="12"/>
  <c r="F1788" i="12"/>
  <c r="H1788" i="12" s="1"/>
  <c r="A1787" i="12"/>
  <c r="J1786" i="12"/>
  <c r="F1786" i="12"/>
  <c r="H1786" i="12" s="1"/>
  <c r="C1786" i="12"/>
  <c r="B1786" i="12"/>
  <c r="H1785" i="12"/>
  <c r="J1784" i="12"/>
  <c r="F1784" i="12"/>
  <c r="H1784" i="12" s="1"/>
  <c r="J1783" i="12"/>
  <c r="F1783" i="12"/>
  <c r="H1783" i="12" s="1"/>
  <c r="J1782" i="12"/>
  <c r="F1782" i="12"/>
  <c r="H1782" i="12" s="1"/>
  <c r="J1781" i="12"/>
  <c r="F1781" i="12"/>
  <c r="H1781" i="12" s="1"/>
  <c r="J1780" i="12"/>
  <c r="F1780" i="12"/>
  <c r="J1779" i="12"/>
  <c r="F1779" i="12"/>
  <c r="H1779" i="12" s="1"/>
  <c r="J1778" i="12"/>
  <c r="F1778" i="12"/>
  <c r="H1778" i="12" s="1"/>
  <c r="A1777" i="12"/>
  <c r="J1776" i="12"/>
  <c r="F1776" i="12"/>
  <c r="H1776" i="12" s="1"/>
  <c r="C1776" i="12"/>
  <c r="B1776" i="12"/>
  <c r="H1775" i="12"/>
  <c r="J1774" i="12"/>
  <c r="F1774" i="12"/>
  <c r="J1773" i="12"/>
  <c r="F1773" i="12"/>
  <c r="J1772" i="12"/>
  <c r="F1772" i="12"/>
  <c r="H1772" i="12" s="1"/>
  <c r="J1771" i="12"/>
  <c r="F1771" i="12"/>
  <c r="H1771" i="12" s="1"/>
  <c r="J1770" i="12"/>
  <c r="F1770" i="12"/>
  <c r="H1770" i="12" s="1"/>
  <c r="J1769" i="12"/>
  <c r="F1769" i="12"/>
  <c r="H1769" i="12" s="1"/>
  <c r="J1768" i="12"/>
  <c r="F1768" i="12"/>
  <c r="H1768" i="12" s="1"/>
  <c r="A1767" i="12"/>
  <c r="J1766" i="12"/>
  <c r="F1766" i="12"/>
  <c r="C1766" i="12"/>
  <c r="B1766" i="12"/>
  <c r="H1765" i="12"/>
  <c r="J1764" i="12"/>
  <c r="F1764" i="12"/>
  <c r="H1764" i="12" s="1"/>
  <c r="J1763" i="12"/>
  <c r="F1763" i="12"/>
  <c r="H1763" i="12" s="1"/>
  <c r="J1762" i="12"/>
  <c r="F1762" i="12"/>
  <c r="H1762" i="12" s="1"/>
  <c r="J1761" i="12"/>
  <c r="F1761" i="12"/>
  <c r="H1761" i="12" s="1"/>
  <c r="J1760" i="12"/>
  <c r="F1760" i="12"/>
  <c r="H1760" i="12" s="1"/>
  <c r="J1759" i="12"/>
  <c r="F1759" i="12"/>
  <c r="J1758" i="12"/>
  <c r="F1758" i="12"/>
  <c r="J1757" i="12"/>
  <c r="F1757" i="12"/>
  <c r="H1757" i="12" s="1"/>
  <c r="A1756" i="12"/>
  <c r="J1755" i="12"/>
  <c r="F1755" i="12"/>
  <c r="C1755" i="12"/>
  <c r="B1755" i="12"/>
  <c r="H1754" i="12"/>
  <c r="J1753" i="12"/>
  <c r="F1753" i="12"/>
  <c r="H1753" i="12" s="1"/>
  <c r="J1752" i="12"/>
  <c r="F1752" i="12"/>
  <c r="H1752" i="12" s="1"/>
  <c r="J1751" i="12"/>
  <c r="F1751" i="12"/>
  <c r="J1750" i="12"/>
  <c r="F1750" i="12"/>
  <c r="H1750" i="12" s="1"/>
  <c r="J1749" i="12"/>
  <c r="F1749" i="12"/>
  <c r="H1749" i="12" s="1"/>
  <c r="J1748" i="12"/>
  <c r="F1748" i="12"/>
  <c r="H1748" i="12" s="1"/>
  <c r="J1747" i="12"/>
  <c r="F1747" i="12"/>
  <c r="H1747" i="12" s="1"/>
  <c r="J1746" i="12"/>
  <c r="F1746" i="12"/>
  <c r="H1746" i="12" s="1"/>
  <c r="A1745" i="12"/>
  <c r="J1744" i="12"/>
  <c r="F1744" i="12"/>
  <c r="C1744" i="12"/>
  <c r="B1744" i="12"/>
  <c r="H1743" i="12"/>
  <c r="J1742" i="12"/>
  <c r="F1742" i="12"/>
  <c r="H1742" i="12" s="1"/>
  <c r="J1741" i="12"/>
  <c r="F1741" i="12"/>
  <c r="H1741" i="12" s="1"/>
  <c r="J1740" i="12"/>
  <c r="F1740" i="12"/>
  <c r="H1740" i="12" s="1"/>
  <c r="J1739" i="12"/>
  <c r="F1739" i="12"/>
  <c r="J1738" i="12"/>
  <c r="F1738" i="12"/>
  <c r="H1738" i="12" s="1"/>
  <c r="J1737" i="12"/>
  <c r="F1737" i="12"/>
  <c r="H1737" i="12" s="1"/>
  <c r="J1736" i="12"/>
  <c r="F1736" i="12"/>
  <c r="A1735" i="12"/>
  <c r="J1734" i="12"/>
  <c r="F1734" i="12"/>
  <c r="H1734" i="12" s="1"/>
  <c r="J1733" i="12"/>
  <c r="F1733" i="12"/>
  <c r="H1733" i="12" s="1"/>
  <c r="F1732" i="12"/>
  <c r="H1732" i="12" s="1"/>
  <c r="K1732" i="12" s="1"/>
  <c r="J1731" i="12"/>
  <c r="F1731" i="12"/>
  <c r="H1731" i="12" s="1"/>
  <c r="A1730" i="12"/>
  <c r="J1729" i="12"/>
  <c r="F1729" i="12"/>
  <c r="H1729" i="12" s="1"/>
  <c r="C1729" i="12"/>
  <c r="B1729" i="12"/>
  <c r="H1728" i="12"/>
  <c r="J1727" i="12"/>
  <c r="F1727" i="12"/>
  <c r="H1727" i="12" s="1"/>
  <c r="J1726" i="12"/>
  <c r="F1726" i="12"/>
  <c r="H1726" i="12" s="1"/>
  <c r="J1725" i="12"/>
  <c r="F1725" i="12"/>
  <c r="H1725" i="12" s="1"/>
  <c r="J1724" i="12"/>
  <c r="F1724" i="12"/>
  <c r="H1724" i="12" s="1"/>
  <c r="J1723" i="12"/>
  <c r="F1723" i="12"/>
  <c r="J1722" i="12"/>
  <c r="F1722" i="12"/>
  <c r="H1722" i="12" s="1"/>
  <c r="J1721" i="12"/>
  <c r="F1721" i="12"/>
  <c r="H1721" i="12" s="1"/>
  <c r="A1720" i="12"/>
  <c r="F1719" i="12"/>
  <c r="C1719" i="12"/>
  <c r="B1719" i="12"/>
  <c r="H1718" i="12"/>
  <c r="K1718" i="12" s="1"/>
  <c r="F1717" i="12"/>
  <c r="H1717" i="12" s="1"/>
  <c r="K1717" i="12" s="1"/>
  <c r="J1716" i="12"/>
  <c r="F1716" i="12"/>
  <c r="H1716" i="12" s="1"/>
  <c r="J1715" i="12"/>
  <c r="F1715" i="12"/>
  <c r="H1715" i="12" s="1"/>
  <c r="J1714" i="12"/>
  <c r="F1714" i="12"/>
  <c r="H1714" i="12" s="1"/>
  <c r="J1713" i="12"/>
  <c r="F1713" i="12"/>
  <c r="H1713" i="12" s="1"/>
  <c r="J1712" i="12"/>
  <c r="F1712" i="12"/>
  <c r="H1712" i="12" s="1"/>
  <c r="F1711" i="12"/>
  <c r="H1711" i="12" s="1"/>
  <c r="K1711" i="12" s="1"/>
  <c r="A1710" i="12"/>
  <c r="A1709" i="12"/>
  <c r="A1708" i="12"/>
  <c r="J1707" i="12"/>
  <c r="F1707" i="12"/>
  <c r="H1707" i="12" s="1"/>
  <c r="F1706" i="12"/>
  <c r="H1706" i="12" s="1"/>
  <c r="J1705" i="12"/>
  <c r="F1705" i="12"/>
  <c r="H1705" i="12" s="1"/>
  <c r="A1704" i="12"/>
  <c r="A1703" i="12"/>
  <c r="J1702" i="12"/>
  <c r="F1702" i="12"/>
  <c r="H1702" i="12" s="1"/>
  <c r="J1701" i="12"/>
  <c r="F1701" i="12"/>
  <c r="H1701" i="12" s="1"/>
  <c r="F1700" i="12"/>
  <c r="H1700" i="12" s="1"/>
  <c r="J1699" i="12"/>
  <c r="F1699" i="12"/>
  <c r="A1698" i="12"/>
  <c r="A1697" i="12"/>
  <c r="J1696" i="12"/>
  <c r="F1696" i="12"/>
  <c r="H1696" i="12" s="1"/>
  <c r="J1695" i="12"/>
  <c r="F1695" i="12"/>
  <c r="H1695" i="12" s="1"/>
  <c r="J1694" i="12"/>
  <c r="F1694" i="12"/>
  <c r="H1694" i="12" s="1"/>
  <c r="J1693" i="12"/>
  <c r="J1692" i="12"/>
  <c r="F1692" i="12"/>
  <c r="F1691" i="12"/>
  <c r="H1691" i="12" s="1"/>
  <c r="J1690" i="12"/>
  <c r="F1690" i="12"/>
  <c r="A1689" i="12"/>
  <c r="A1688" i="12"/>
  <c r="A1687" i="12"/>
  <c r="J1686" i="12"/>
  <c r="F1686" i="12"/>
  <c r="H1686" i="12" s="1"/>
  <c r="J1685" i="12"/>
  <c r="J1684" i="12"/>
  <c r="F1684" i="12"/>
  <c r="F1683" i="12"/>
  <c r="H1683" i="12" s="1"/>
  <c r="J1682" i="12"/>
  <c r="F1682" i="12"/>
  <c r="H1682" i="12" s="1"/>
  <c r="A1681" i="12"/>
  <c r="J1680" i="12"/>
  <c r="F1680" i="12"/>
  <c r="H1680" i="12" s="1"/>
  <c r="J1679" i="12"/>
  <c r="F1679" i="12"/>
  <c r="H1679" i="12" s="1"/>
  <c r="J1678" i="12"/>
  <c r="J1677" i="12"/>
  <c r="F1677" i="12"/>
  <c r="H1677" i="12" s="1"/>
  <c r="F1676" i="12"/>
  <c r="H1676" i="12" s="1"/>
  <c r="J1675" i="12"/>
  <c r="F1675" i="12"/>
  <c r="A1674" i="12"/>
  <c r="J1673" i="12"/>
  <c r="F1673" i="12"/>
  <c r="H1673" i="12" s="1"/>
  <c r="J1672" i="12"/>
  <c r="F1672" i="12"/>
  <c r="H1672" i="12" s="1"/>
  <c r="J1671" i="12"/>
  <c r="J1670" i="12"/>
  <c r="F1670" i="12"/>
  <c r="F1669" i="12"/>
  <c r="H1669" i="12" s="1"/>
  <c r="J1668" i="12"/>
  <c r="F1668" i="12"/>
  <c r="H1668" i="12" s="1"/>
  <c r="A1667" i="12"/>
  <c r="J1666" i="12"/>
  <c r="F1666" i="12"/>
  <c r="J1665" i="12"/>
  <c r="F1665" i="12"/>
  <c r="H1665" i="12" s="1"/>
  <c r="J1664" i="12"/>
  <c r="J1663" i="12"/>
  <c r="F1663" i="12"/>
  <c r="F1662" i="12"/>
  <c r="H1662" i="12" s="1"/>
  <c r="J1661" i="12"/>
  <c r="F1661" i="12"/>
  <c r="H1661" i="12" s="1"/>
  <c r="A1660" i="12"/>
  <c r="J1659" i="12"/>
  <c r="F1659" i="12"/>
  <c r="H1659" i="12" s="1"/>
  <c r="J1658" i="12"/>
  <c r="F1658" i="12"/>
  <c r="J1657" i="12"/>
  <c r="J1656" i="12"/>
  <c r="F1656" i="12"/>
  <c r="F1655" i="12"/>
  <c r="H1655" i="12" s="1"/>
  <c r="J1654" i="12"/>
  <c r="F1654" i="12"/>
  <c r="A1653" i="12"/>
  <c r="J1652" i="12"/>
  <c r="F1652" i="12"/>
  <c r="H1652" i="12" s="1"/>
  <c r="J1651" i="12"/>
  <c r="F1651" i="12"/>
  <c r="H1651" i="12" s="1"/>
  <c r="J1650" i="12"/>
  <c r="J1649" i="12"/>
  <c r="F1649" i="12"/>
  <c r="H1649" i="12" s="1"/>
  <c r="F1648" i="12"/>
  <c r="H1648" i="12" s="1"/>
  <c r="J1647" i="12"/>
  <c r="F1647" i="12"/>
  <c r="A1646" i="12"/>
  <c r="J1645" i="12"/>
  <c r="F1645" i="12"/>
  <c r="H1645" i="12" s="1"/>
  <c r="J1644" i="12"/>
  <c r="F1644" i="12"/>
  <c r="H1644" i="12" s="1"/>
  <c r="J1643" i="12"/>
  <c r="J1642" i="12"/>
  <c r="F1642" i="12"/>
  <c r="F1641" i="12"/>
  <c r="H1641" i="12" s="1"/>
  <c r="J1640" i="12"/>
  <c r="F1640" i="12"/>
  <c r="H1640" i="12" s="1"/>
  <c r="A1639" i="12"/>
  <c r="J1638" i="12"/>
  <c r="F1638" i="12"/>
  <c r="H1638" i="12" s="1"/>
  <c r="J1637" i="12"/>
  <c r="F1637" i="12"/>
  <c r="H1637" i="12" s="1"/>
  <c r="J1636" i="12"/>
  <c r="J1635" i="12"/>
  <c r="F1635" i="12"/>
  <c r="H1635" i="12" s="1"/>
  <c r="F1634" i="12"/>
  <c r="H1634" i="12" s="1"/>
  <c r="J1633" i="12"/>
  <c r="F1633" i="12"/>
  <c r="H1633" i="12" s="1"/>
  <c r="A1632" i="12"/>
  <c r="J1631" i="12"/>
  <c r="F1631" i="12"/>
  <c r="H1631" i="12" s="1"/>
  <c r="J1630" i="12"/>
  <c r="F1630" i="12"/>
  <c r="J1629" i="12"/>
  <c r="J1628" i="12"/>
  <c r="F1628" i="12"/>
  <c r="F1627" i="12"/>
  <c r="H1627" i="12" s="1"/>
  <c r="J1626" i="12"/>
  <c r="F1626" i="12"/>
  <c r="A1625" i="12"/>
  <c r="J1624" i="12"/>
  <c r="F1624" i="12"/>
  <c r="H1624" i="12" s="1"/>
  <c r="J1623" i="12"/>
  <c r="F1623" i="12"/>
  <c r="J1622" i="12"/>
  <c r="J1621" i="12"/>
  <c r="F1621" i="12"/>
  <c r="H1621" i="12" s="1"/>
  <c r="F1620" i="12"/>
  <c r="H1620" i="12" s="1"/>
  <c r="J1619" i="12"/>
  <c r="F1619" i="12"/>
  <c r="H1619" i="12" s="1"/>
  <c r="A1618" i="12"/>
  <c r="J1617" i="12"/>
  <c r="F1617" i="12"/>
  <c r="H1617" i="12" s="1"/>
  <c r="J1616" i="12"/>
  <c r="F1616" i="12"/>
  <c r="H1616" i="12" s="1"/>
  <c r="J1615" i="12"/>
  <c r="J1614" i="12"/>
  <c r="F1614" i="12"/>
  <c r="H1614" i="12" s="1"/>
  <c r="F1613" i="12"/>
  <c r="H1613" i="12" s="1"/>
  <c r="J1612" i="12"/>
  <c r="F1612" i="12"/>
  <c r="H1612" i="12" s="1"/>
  <c r="A1611" i="12"/>
  <c r="J1610" i="12"/>
  <c r="F1610" i="12"/>
  <c r="H1610" i="12" s="1"/>
  <c r="J1609" i="12"/>
  <c r="J1608" i="12"/>
  <c r="F1608" i="12"/>
  <c r="F1607" i="12"/>
  <c r="H1607" i="12" s="1"/>
  <c r="J1606" i="12"/>
  <c r="F1606" i="12"/>
  <c r="H1606" i="12" s="1"/>
  <c r="A1605" i="12"/>
  <c r="J1604" i="12"/>
  <c r="F1604" i="12"/>
  <c r="H1604" i="12" s="1"/>
  <c r="J1603" i="12"/>
  <c r="F1603" i="12"/>
  <c r="H1603" i="12" s="1"/>
  <c r="J1602" i="12"/>
  <c r="J1601" i="12"/>
  <c r="F1601" i="12"/>
  <c r="H1601" i="12" s="1"/>
  <c r="F1600" i="12"/>
  <c r="H1600" i="12" s="1"/>
  <c r="J1599" i="12"/>
  <c r="F1599" i="12"/>
  <c r="A1598" i="12"/>
  <c r="J1597" i="12"/>
  <c r="F1597" i="12"/>
  <c r="H1597" i="12" s="1"/>
  <c r="J1596" i="12"/>
  <c r="F1596" i="12"/>
  <c r="H1596" i="12" s="1"/>
  <c r="J1595" i="12"/>
  <c r="J1594" i="12"/>
  <c r="F1594" i="12"/>
  <c r="F1593" i="12"/>
  <c r="H1593" i="12" s="1"/>
  <c r="K1593" i="12" s="1"/>
  <c r="J1592" i="12"/>
  <c r="F1592" i="12"/>
  <c r="H1592" i="12" s="1"/>
  <c r="A1591" i="12"/>
  <c r="A1590" i="12"/>
  <c r="A1589" i="12"/>
  <c r="J1588" i="12"/>
  <c r="F1588" i="12"/>
  <c r="H1588" i="12" s="1"/>
  <c r="J1587" i="12"/>
  <c r="F1587" i="12"/>
  <c r="H1587" i="12" s="1"/>
  <c r="J1586" i="12"/>
  <c r="J1585" i="12"/>
  <c r="F1585" i="12"/>
  <c r="J1584" i="12"/>
  <c r="F1584" i="12"/>
  <c r="H1584" i="12" s="1"/>
  <c r="J1583" i="12"/>
  <c r="F1583" i="12"/>
  <c r="H1583" i="12" s="1"/>
  <c r="A1582" i="12"/>
  <c r="J1581" i="12"/>
  <c r="F1581" i="12"/>
  <c r="J1580" i="12"/>
  <c r="F1580" i="12"/>
  <c r="H1580" i="12" s="1"/>
  <c r="J1579" i="12"/>
  <c r="J1578" i="12"/>
  <c r="F1578" i="12"/>
  <c r="J1577" i="12"/>
  <c r="F1577" i="12"/>
  <c r="H1577" i="12" s="1"/>
  <c r="J1576" i="12"/>
  <c r="F1576" i="12"/>
  <c r="H1576" i="12" s="1"/>
  <c r="A1575" i="12"/>
  <c r="J1574" i="12"/>
  <c r="F1574" i="12"/>
  <c r="H1574" i="12" s="1"/>
  <c r="J1573" i="12"/>
  <c r="F1573" i="12"/>
  <c r="J1572" i="12"/>
  <c r="J1571" i="12"/>
  <c r="F1571" i="12"/>
  <c r="J1570" i="12"/>
  <c r="F1570" i="12"/>
  <c r="H1570" i="12" s="1"/>
  <c r="J1569" i="12"/>
  <c r="F1569" i="12"/>
  <c r="A1568" i="12"/>
  <c r="J1567" i="12"/>
  <c r="F1567" i="12"/>
  <c r="H1567" i="12" s="1"/>
  <c r="J1566" i="12"/>
  <c r="F1566" i="12"/>
  <c r="H1566" i="12" s="1"/>
  <c r="J1565" i="12"/>
  <c r="J1564" i="12"/>
  <c r="F1564" i="12"/>
  <c r="H1564" i="12" s="1"/>
  <c r="J1563" i="12"/>
  <c r="F1563" i="12"/>
  <c r="H1563" i="12" s="1"/>
  <c r="J1562" i="12"/>
  <c r="F1562" i="12"/>
  <c r="A1561" i="12"/>
  <c r="J1560" i="12"/>
  <c r="F1560" i="12"/>
  <c r="H1560" i="12" s="1"/>
  <c r="J1559" i="12"/>
  <c r="F1559" i="12"/>
  <c r="H1559" i="12" s="1"/>
  <c r="J1558" i="12"/>
  <c r="J1557" i="12"/>
  <c r="F1557" i="12"/>
  <c r="J1556" i="12"/>
  <c r="F1556" i="12"/>
  <c r="H1556" i="12" s="1"/>
  <c r="J1555" i="12"/>
  <c r="F1555" i="12"/>
  <c r="A1554" i="12"/>
  <c r="J1553" i="12"/>
  <c r="F1553" i="12"/>
  <c r="H1553" i="12" s="1"/>
  <c r="J1552" i="12"/>
  <c r="F1552" i="12"/>
  <c r="H1552" i="12" s="1"/>
  <c r="J1551" i="12"/>
  <c r="J1550" i="12"/>
  <c r="F1550" i="12"/>
  <c r="J1549" i="12"/>
  <c r="F1549" i="12"/>
  <c r="H1549" i="12" s="1"/>
  <c r="J1548" i="12"/>
  <c r="F1548" i="12"/>
  <c r="H1548" i="12" s="1"/>
  <c r="A1547" i="12"/>
  <c r="J1546" i="12"/>
  <c r="F1546" i="12"/>
  <c r="H1546" i="12" s="1"/>
  <c r="J1545" i="12"/>
  <c r="F1545" i="12"/>
  <c r="H1545" i="12" s="1"/>
  <c r="J1544" i="12"/>
  <c r="J1543" i="12"/>
  <c r="F1543" i="12"/>
  <c r="J1542" i="12"/>
  <c r="F1542" i="12"/>
  <c r="H1542" i="12" s="1"/>
  <c r="J1541" i="12"/>
  <c r="F1541" i="12"/>
  <c r="H1541" i="12" s="1"/>
  <c r="A1540" i="12"/>
  <c r="J1539" i="12"/>
  <c r="F1539" i="12"/>
  <c r="F1538" i="12"/>
  <c r="F1536" i="12"/>
  <c r="F1535" i="12"/>
  <c r="F1534" i="12"/>
  <c r="A1533" i="12"/>
  <c r="A1532" i="12"/>
  <c r="A1531" i="12"/>
  <c r="K1580" i="12" l="1"/>
  <c r="K1792" i="12"/>
  <c r="K1583" i="12"/>
  <c r="K1665" i="12"/>
  <c r="K1741" i="12"/>
  <c r="K1771" i="12"/>
  <c r="K2428" i="12"/>
  <c r="K2293" i="12"/>
  <c r="K2596" i="12"/>
  <c r="K1549" i="12"/>
  <c r="K1563" i="12"/>
  <c r="K1817" i="12"/>
  <c r="K1924" i="12"/>
  <c r="K1935" i="12"/>
  <c r="K1950" i="12"/>
  <c r="K1952" i="12"/>
  <c r="K1954" i="12"/>
  <c r="K2158" i="12"/>
  <c r="K1545" i="12"/>
  <c r="F1551" i="12"/>
  <c r="H1551" i="12" s="1"/>
  <c r="K1551" i="12" s="1"/>
  <c r="K1564" i="12"/>
  <c r="F1636" i="12"/>
  <c r="H1636" i="12" s="1"/>
  <c r="K1636" i="12" s="1"/>
  <c r="F1678" i="12"/>
  <c r="H1678" i="12" s="1"/>
  <c r="K1678" i="12" s="1"/>
  <c r="K1695" i="12"/>
  <c r="K1722" i="12"/>
  <c r="K1830" i="12"/>
  <c r="K1943" i="12"/>
  <c r="K1971" i="12"/>
  <c r="K2004" i="12"/>
  <c r="K2167" i="12"/>
  <c r="K2292" i="12"/>
  <c r="F2478" i="12"/>
  <c r="H2478" i="12" s="1"/>
  <c r="K1617" i="12"/>
  <c r="K1808" i="12"/>
  <c r="K1990" i="12"/>
  <c r="K2067" i="12"/>
  <c r="K2141" i="12"/>
  <c r="K2432" i="12"/>
  <c r="K1541" i="12"/>
  <c r="K1789" i="12"/>
  <c r="K2064" i="12"/>
  <c r="K2155" i="12"/>
  <c r="K2261" i="12"/>
  <c r="H2528" i="12"/>
  <c r="K2528" i="12" s="1"/>
  <c r="K1668" i="12"/>
  <c r="K1707" i="12"/>
  <c r="K1913" i="12"/>
  <c r="K2061" i="12"/>
  <c r="K2075" i="12"/>
  <c r="K2169" i="12"/>
  <c r="K2242" i="12"/>
  <c r="F2517" i="12"/>
  <c r="H2517" i="12" s="1"/>
  <c r="H1877" i="12"/>
  <c r="K1877" i="12" s="1"/>
  <c r="K2139" i="12"/>
  <c r="K2171" i="12"/>
  <c r="K2241" i="12"/>
  <c r="K2271" i="12"/>
  <c r="K2287" i="12"/>
  <c r="K1705" i="12"/>
  <c r="K1764" i="12"/>
  <c r="K1788" i="12"/>
  <c r="K2014" i="12"/>
  <c r="F2686" i="12"/>
  <c r="H2686" i="12" s="1"/>
  <c r="K2686" i="12" s="1"/>
  <c r="H1550" i="12"/>
  <c r="K1552" i="12"/>
  <c r="K1559" i="12"/>
  <c r="K1567" i="12"/>
  <c r="K1574" i="12"/>
  <c r="K1716" i="12"/>
  <c r="K1784" i="12"/>
  <c r="K1821" i="12"/>
  <c r="K1865" i="12"/>
  <c r="K2010" i="12"/>
  <c r="K2137" i="12"/>
  <c r="K2163" i="12"/>
  <c r="K2184" i="12"/>
  <c r="K2243" i="12"/>
  <c r="K2276" i="12"/>
  <c r="K2296" i="12"/>
  <c r="K2369" i="12"/>
  <c r="F2473" i="12"/>
  <c r="H2473" i="12" s="1"/>
  <c r="K2595" i="12"/>
  <c r="H2684" i="12"/>
  <c r="K2684" i="12" s="1"/>
  <c r="K2690" i="12"/>
  <c r="K2692" i="12"/>
  <c r="K1631" i="12"/>
  <c r="K1635" i="12"/>
  <c r="K1649" i="12"/>
  <c r="K1740" i="12"/>
  <c r="K1781" i="12"/>
  <c r="K1879" i="12"/>
  <c r="D1887" i="12"/>
  <c r="K1944" i="12"/>
  <c r="K2037" i="12"/>
  <c r="K2052" i="12"/>
  <c r="K2059" i="12"/>
  <c r="K2088" i="12"/>
  <c r="K2115" i="12"/>
  <c r="K2156" i="12"/>
  <c r="K2161" i="12"/>
  <c r="K2174" i="12"/>
  <c r="K2176" i="12"/>
  <c r="K2178" i="12"/>
  <c r="K2180" i="12"/>
  <c r="K2252" i="12"/>
  <c r="L2258" i="12" s="1"/>
  <c r="K2263" i="12"/>
  <c r="K2288" i="12"/>
  <c r="K2582" i="12"/>
  <c r="F1850" i="12"/>
  <c r="H1850" i="12" s="1"/>
  <c r="K1850" i="12" s="1"/>
  <c r="K1566" i="12"/>
  <c r="K1696" i="12"/>
  <c r="K1776" i="12"/>
  <c r="K1778" i="12"/>
  <c r="K1831" i="12"/>
  <c r="K1859" i="12"/>
  <c r="K1864" i="12"/>
  <c r="K1916" i="12"/>
  <c r="K1934" i="12"/>
  <c r="K1962" i="12"/>
  <c r="K1966" i="12"/>
  <c r="K1970" i="12"/>
  <c r="K2051" i="12"/>
  <c r="F2118" i="12"/>
  <c r="H2118" i="12" s="1"/>
  <c r="K2118" i="12" s="1"/>
  <c r="K2300" i="12"/>
  <c r="K2373" i="12"/>
  <c r="K2581" i="12"/>
  <c r="K2676" i="12"/>
  <c r="K2680" i="12"/>
  <c r="K2767" i="12"/>
  <c r="K2748" i="12"/>
  <c r="K2750" i="12"/>
  <c r="K2752" i="12"/>
  <c r="K2754" i="12"/>
  <c r="K2756" i="12"/>
  <c r="K2758" i="12"/>
  <c r="K2760" i="12"/>
  <c r="K2762" i="12"/>
  <c r="K2764" i="12"/>
  <c r="K2766" i="12"/>
  <c r="J2773" i="12"/>
  <c r="K2774" i="12" s="1"/>
  <c r="K2775" i="12" s="1"/>
  <c r="K1835" i="12"/>
  <c r="F2540" i="12"/>
  <c r="H2540" i="12" s="1"/>
  <c r="K2540" i="12" s="1"/>
  <c r="H2538" i="12"/>
  <c r="K2538" i="12" s="1"/>
  <c r="F1602" i="12"/>
  <c r="H1602" i="12" s="1"/>
  <c r="K1602" i="12" s="1"/>
  <c r="K1652" i="12"/>
  <c r="K1721" i="12"/>
  <c r="K1733" i="12"/>
  <c r="K1747" i="12"/>
  <c r="K1838" i="12"/>
  <c r="H1846" i="12"/>
  <c r="K1846" i="12" s="1"/>
  <c r="K1853" i="12"/>
  <c r="K1876" i="12"/>
  <c r="K2027" i="12"/>
  <c r="K2044" i="12"/>
  <c r="K2074" i="12"/>
  <c r="K2114" i="12"/>
  <c r="K2166" i="12"/>
  <c r="K2183" i="12"/>
  <c r="K2185" i="12"/>
  <c r="F2306" i="12"/>
  <c r="H2306" i="12" s="1"/>
  <c r="K2306" i="12" s="1"/>
  <c r="D2305" i="12"/>
  <c r="H2403" i="12"/>
  <c r="K2403" i="12" s="1"/>
  <c r="F2406" i="12"/>
  <c r="H2406" i="12" s="1"/>
  <c r="K2421" i="12"/>
  <c r="K2071" i="12"/>
  <c r="D2071" i="12"/>
  <c r="L2216" i="12"/>
  <c r="K2045" i="12"/>
  <c r="K2160" i="12"/>
  <c r="K2397" i="12"/>
  <c r="K1659" i="12"/>
  <c r="K1724" i="12"/>
  <c r="K1734" i="12"/>
  <c r="K1762" i="12"/>
  <c r="K1769" i="12"/>
  <c r="K1800" i="12"/>
  <c r="H1845" i="12"/>
  <c r="K1845" i="12" s="1"/>
  <c r="K1852" i="12"/>
  <c r="K1895" i="12"/>
  <c r="K1938" i="12"/>
  <c r="K2033" i="12"/>
  <c r="K2047" i="12"/>
  <c r="K2049" i="12"/>
  <c r="K2057" i="12"/>
  <c r="K2083" i="12"/>
  <c r="D2219" i="12"/>
  <c r="K2219" i="12"/>
  <c r="K2265" i="12"/>
  <c r="K2384" i="12"/>
  <c r="H2391" i="12"/>
  <c r="K2391" i="12" s="1"/>
  <c r="F2394" i="12"/>
  <c r="H2394" i="12" s="1"/>
  <c r="F2672" i="12"/>
  <c r="H2672" i="12" s="1"/>
  <c r="H2670" i="12"/>
  <c r="K2670" i="12" s="1"/>
  <c r="K2466" i="12"/>
  <c r="K1999" i="12"/>
  <c r="K2040" i="12"/>
  <c r="K2063" i="12"/>
  <c r="K2164" i="12"/>
  <c r="K2177" i="12"/>
  <c r="K2179" i="12"/>
  <c r="K2181" i="12"/>
  <c r="K2232" i="12"/>
  <c r="K2275" i="12"/>
  <c r="K2277" i="12"/>
  <c r="K2383" i="12"/>
  <c r="H2471" i="12"/>
  <c r="K2471" i="12" s="1"/>
  <c r="K2490" i="12"/>
  <c r="K2691" i="12"/>
  <c r="K1976" i="12"/>
  <c r="K2032" i="12"/>
  <c r="K2035" i="12"/>
  <c r="K2039" i="12"/>
  <c r="K2087" i="12"/>
  <c r="K2299" i="12"/>
  <c r="K2302" i="12"/>
  <c r="K2375" i="12"/>
  <c r="K2410" i="12"/>
  <c r="K2452" i="12"/>
  <c r="F2530" i="12"/>
  <c r="H2530" i="12" s="1"/>
  <c r="K2530" i="12" s="1"/>
  <c r="H2262" i="12"/>
  <c r="K2262" i="12" s="1"/>
  <c r="H2286" i="12"/>
  <c r="K2286" i="12" s="1"/>
  <c r="H2222" i="12"/>
  <c r="K2222" i="12" s="1"/>
  <c r="H2294" i="12"/>
  <c r="K2294" i="12" s="1"/>
  <c r="H2313" i="12"/>
  <c r="K2313" i="12" s="1"/>
  <c r="H2317" i="12"/>
  <c r="K2317" i="12" s="1"/>
  <c r="H2360" i="12"/>
  <c r="H2381" i="12"/>
  <c r="K2381" i="12" s="1"/>
  <c r="H2449" i="12"/>
  <c r="K2449" i="12" s="1"/>
  <c r="H2363" i="12"/>
  <c r="K2363" i="12" s="1"/>
  <c r="F2364" i="12"/>
  <c r="H2368" i="12"/>
  <c r="K2368" i="12" s="1"/>
  <c r="H2113" i="12"/>
  <c r="K2113" i="12" s="1"/>
  <c r="H2205" i="12"/>
  <c r="K2205" i="12" s="1"/>
  <c r="H2220" i="12"/>
  <c r="F2233" i="12"/>
  <c r="H2231" i="12"/>
  <c r="K2234" i="12"/>
  <c r="H2244" i="12"/>
  <c r="K2244" i="12" s="1"/>
  <c r="K2245" i="12"/>
  <c r="D2256" i="12"/>
  <c r="H2301" i="12"/>
  <c r="K2301" i="12" s="1"/>
  <c r="H2325" i="12"/>
  <c r="K2325" i="12" s="1"/>
  <c r="H2303" i="12"/>
  <c r="K2303" i="12" s="1"/>
  <c r="H2264" i="12"/>
  <c r="K2264" i="12" s="1"/>
  <c r="H2273" i="12"/>
  <c r="K2273" i="12" s="1"/>
  <c r="H2295" i="12"/>
  <c r="K2295" i="12" s="1"/>
  <c r="H2361" i="12"/>
  <c r="K2361" i="12" s="1"/>
  <c r="H2365" i="12"/>
  <c r="K2365" i="12" s="1"/>
  <c r="H2374" i="12"/>
  <c r="K2374" i="12" s="1"/>
  <c r="H2380" i="12"/>
  <c r="K2380" i="12" s="1"/>
  <c r="H2382" i="12"/>
  <c r="K2382" i="12" s="1"/>
  <c r="F2400" i="12"/>
  <c r="F2454" i="12"/>
  <c r="K2455" i="12"/>
  <c r="F2468" i="12"/>
  <c r="H2482" i="12"/>
  <c r="F2493" i="12"/>
  <c r="H2491" i="12"/>
  <c r="K2491" i="12" s="1"/>
  <c r="H2529" i="12"/>
  <c r="K2529" i="12" s="1"/>
  <c r="H2588" i="12"/>
  <c r="K2588" i="12" s="1"/>
  <c r="H2602" i="12"/>
  <c r="K2602" i="12" s="1"/>
  <c r="F2448" i="12"/>
  <c r="H2446" i="12"/>
  <c r="K2446" i="12" s="1"/>
  <c r="H2568" i="12"/>
  <c r="K2289" i="12"/>
  <c r="F2413" i="12"/>
  <c r="F2488" i="12"/>
  <c r="H2486" i="12"/>
  <c r="K2486" i="12" s="1"/>
  <c r="H2535" i="12"/>
  <c r="K2535" i="12" s="1"/>
  <c r="H2586" i="12"/>
  <c r="H2600" i="12"/>
  <c r="F2481" i="12"/>
  <c r="F2534" i="12"/>
  <c r="F2561" i="12"/>
  <c r="K2589" i="12"/>
  <c r="K2603" i="12"/>
  <c r="F2677" i="12"/>
  <c r="H2675" i="12"/>
  <c r="K2675" i="12" s="1"/>
  <c r="H2476" i="12"/>
  <c r="K2476" i="12" s="1"/>
  <c r="H2480" i="12"/>
  <c r="K2480" i="12" s="1"/>
  <c r="H2515" i="12"/>
  <c r="K2515" i="12" s="1"/>
  <c r="H2533" i="12"/>
  <c r="K2533" i="12" s="1"/>
  <c r="F2539" i="12"/>
  <c r="H2560" i="12"/>
  <c r="K2560" i="12" s="1"/>
  <c r="H2579" i="12"/>
  <c r="H2593" i="12"/>
  <c r="K2671" i="12"/>
  <c r="F2682" i="12"/>
  <c r="H2681" i="12"/>
  <c r="K2681" i="12" s="1"/>
  <c r="H2685" i="12"/>
  <c r="K2685" i="12" s="1"/>
  <c r="K1932" i="12"/>
  <c r="K1701" i="12"/>
  <c r="K1619" i="12"/>
  <c r="K1738" i="12"/>
  <c r="K1940" i="12"/>
  <c r="K1548" i="12"/>
  <c r="K1556" i="12"/>
  <c r="K1570" i="12"/>
  <c r="K1603" i="12"/>
  <c r="K1651" i="12"/>
  <c r="K1679" i="12"/>
  <c r="K1712" i="12"/>
  <c r="K1731" i="12"/>
  <c r="K1748" i="12"/>
  <c r="K1768" i="12"/>
  <c r="K1770" i="12"/>
  <c r="K1816" i="12"/>
  <c r="K1827" i="12"/>
  <c r="D1869" i="12"/>
  <c r="K1881" i="12"/>
  <c r="K1884" i="12"/>
  <c r="K1901" i="12"/>
  <c r="K1920" i="12"/>
  <c r="K1959" i="12"/>
  <c r="D2002" i="12"/>
  <c r="K2056" i="12"/>
  <c r="K1588" i="12"/>
  <c r="K1637" i="12"/>
  <c r="K1801" i="12"/>
  <c r="K1809" i="12"/>
  <c r="K1814" i="12"/>
  <c r="K1892" i="12"/>
  <c r="K1584" i="12"/>
  <c r="K1597" i="12"/>
  <c r="F1622" i="12"/>
  <c r="H1622" i="12" s="1"/>
  <c r="K1622" i="12" s="1"/>
  <c r="K1587" i="12"/>
  <c r="K1596" i="12"/>
  <c r="K1601" i="12"/>
  <c r="K1624" i="12"/>
  <c r="K1633" i="12"/>
  <c r="K1640" i="12"/>
  <c r="K1644" i="12"/>
  <c r="K1645" i="12"/>
  <c r="K1672" i="12"/>
  <c r="K1677" i="12"/>
  <c r="K1752" i="12"/>
  <c r="K1753" i="12"/>
  <c r="K1763" i="12"/>
  <c r="K1796" i="12"/>
  <c r="K1804" i="12"/>
  <c r="K1883" i="12"/>
  <c r="K1919" i="12"/>
  <c r="K1937" i="12"/>
  <c r="K2003" i="12"/>
  <c r="K2043" i="12"/>
  <c r="K1553" i="12"/>
  <c r="K1592" i="12"/>
  <c r="K1616" i="12"/>
  <c r="K1604" i="12"/>
  <c r="K1612" i="12"/>
  <c r="K1726" i="12"/>
  <c r="K1576" i="12"/>
  <c r="K1661" i="12"/>
  <c r="K1680" i="12"/>
  <c r="K1761" i="12"/>
  <c r="K1786" i="12"/>
  <c r="K1797" i="12"/>
  <c r="D1875" i="12"/>
  <c r="K1875" i="12"/>
  <c r="D2082" i="12"/>
  <c r="K2082" i="12"/>
  <c r="K1714" i="12"/>
  <c r="K1725" i="12"/>
  <c r="K1742" i="12"/>
  <c r="K1749" i="12"/>
  <c r="K1760" i="12"/>
  <c r="K1783" i="12"/>
  <c r="K1794" i="12"/>
  <c r="K1805" i="12"/>
  <c r="K1813" i="12"/>
  <c r="K1837" i="12"/>
  <c r="K1858" i="12"/>
  <c r="K1891" i="12"/>
  <c r="K1921" i="12"/>
  <c r="K1936" i="12"/>
  <c r="K1955" i="12"/>
  <c r="K1987" i="12"/>
  <c r="K1992" i="12"/>
  <c r="K1998" i="12"/>
  <c r="K2016" i="12"/>
  <c r="K2021" i="12"/>
  <c r="K1542" i="12"/>
  <c r="K1546" i="12"/>
  <c r="K1550" i="12"/>
  <c r="K1560" i="12"/>
  <c r="K1621" i="12"/>
  <c r="K1673" i="12"/>
  <c r="K1713" i="12"/>
  <c r="K1782" i="12"/>
  <c r="K1793" i="12"/>
  <c r="K1802" i="12"/>
  <c r="K1842" i="12"/>
  <c r="K1857" i="12"/>
  <c r="K1878" i="12"/>
  <c r="K1885" i="12"/>
  <c r="K1907" i="12"/>
  <c r="K1945" i="12"/>
  <c r="K1960" i="12"/>
  <c r="K1967" i="12"/>
  <c r="K1972" i="12"/>
  <c r="K2006" i="12"/>
  <c r="K1810" i="12"/>
  <c r="K1818" i="12"/>
  <c r="K1898" i="12"/>
  <c r="K1902" i="12"/>
  <c r="K1909" i="12"/>
  <c r="K1933" i="12"/>
  <c r="K1964" i="12"/>
  <c r="K1980" i="12"/>
  <c r="K1984" i="12"/>
  <c r="K2024" i="12"/>
  <c r="K2029" i="12"/>
  <c r="K2053" i="12"/>
  <c r="K2068" i="12"/>
  <c r="F1609" i="12"/>
  <c r="H1608" i="12"/>
  <c r="K1608" i="12" s="1"/>
  <c r="F1615" i="12"/>
  <c r="H1856" i="12"/>
  <c r="H1534" i="12"/>
  <c r="K1534" i="12" s="1"/>
  <c r="H1536" i="12"/>
  <c r="K1536" i="12" s="1"/>
  <c r="H1538" i="12"/>
  <c r="K1538" i="12" s="1"/>
  <c r="F1558" i="12"/>
  <c r="H1623" i="12"/>
  <c r="K1623" i="12" s="1"/>
  <c r="F1643" i="12"/>
  <c r="H1647" i="12"/>
  <c r="K1647" i="12" s="1"/>
  <c r="F1650" i="12"/>
  <c r="H1663" i="12"/>
  <c r="K1663" i="12" s="1"/>
  <c r="F1664" i="12"/>
  <c r="K1682" i="12"/>
  <c r="K1686" i="12"/>
  <c r="H1699" i="12"/>
  <c r="K1699" i="12" s="1"/>
  <c r="K1715" i="12"/>
  <c r="H1723" i="12"/>
  <c r="K1723" i="12" s="1"/>
  <c r="K1746" i="12"/>
  <c r="K1750" i="12"/>
  <c r="H1773" i="12"/>
  <c r="K1773" i="12" s="1"/>
  <c r="H1833" i="12"/>
  <c r="K1833" i="12" s="1"/>
  <c r="H1979" i="12"/>
  <c r="K1979" i="12" s="1"/>
  <c r="F1537" i="12"/>
  <c r="H1819" i="12"/>
  <c r="K1819" i="12" s="1"/>
  <c r="H1543" i="12"/>
  <c r="K1543" i="12" s="1"/>
  <c r="F1544" i="12"/>
  <c r="H1555" i="12"/>
  <c r="K1555" i="12" s="1"/>
  <c r="H1562" i="12"/>
  <c r="K1562" i="12" s="1"/>
  <c r="F1565" i="12"/>
  <c r="H1578" i="12"/>
  <c r="K1578" i="12" s="1"/>
  <c r="F1579" i="12"/>
  <c r="K1610" i="12"/>
  <c r="H1581" i="12"/>
  <c r="K1581" i="12" s="1"/>
  <c r="F1586" i="12"/>
  <c r="F1595" i="12"/>
  <c r="H1599" i="12"/>
  <c r="K1599" i="12" s="1"/>
  <c r="K1614" i="12"/>
  <c r="H1666" i="12"/>
  <c r="K1666" i="12" s="1"/>
  <c r="F1671" i="12"/>
  <c r="H1675" i="12"/>
  <c r="K1675" i="12" s="1"/>
  <c r="H1690" i="12"/>
  <c r="K1690" i="12" s="1"/>
  <c r="F1693" i="12"/>
  <c r="H1692" i="12"/>
  <c r="K1692" i="12" s="1"/>
  <c r="H1719" i="12"/>
  <c r="K1719" i="12" s="1"/>
  <c r="K1727" i="12"/>
  <c r="H1739" i="12"/>
  <c r="K1739" i="12" s="1"/>
  <c r="H1751" i="12"/>
  <c r="K1751" i="12" s="1"/>
  <c r="H1758" i="12"/>
  <c r="K1758" i="12" s="1"/>
  <c r="H1825" i="12"/>
  <c r="K1825" i="12" s="1"/>
  <c r="H1914" i="12"/>
  <c r="K1914" i="12" s="1"/>
  <c r="H1953" i="12"/>
  <c r="K1953" i="12" s="1"/>
  <c r="F1685" i="12"/>
  <c r="H1684" i="12"/>
  <c r="K1684" i="12" s="1"/>
  <c r="H1759" i="12"/>
  <c r="K1759" i="12" s="1"/>
  <c r="H1766" i="12"/>
  <c r="K1766" i="12" s="1"/>
  <c r="F1890" i="12"/>
  <c r="H1889" i="12"/>
  <c r="K1889" i="12" s="1"/>
  <c r="H1535" i="12"/>
  <c r="K1535" i="12" s="1"/>
  <c r="H1539" i="12"/>
  <c r="K1539" i="12" s="1"/>
  <c r="K1606" i="12"/>
  <c r="H1557" i="12"/>
  <c r="K1557" i="12" s="1"/>
  <c r="K1577" i="12"/>
  <c r="H1626" i="12"/>
  <c r="F1629" i="12"/>
  <c r="H1628" i="12"/>
  <c r="K1628" i="12" s="1"/>
  <c r="H1630" i="12"/>
  <c r="K1630" i="12" s="1"/>
  <c r="K1638" i="12"/>
  <c r="H1642" i="12"/>
  <c r="K1642" i="12" s="1"/>
  <c r="H1569" i="12"/>
  <c r="K1569" i="12" s="1"/>
  <c r="F1572" i="12"/>
  <c r="H1571" i="12"/>
  <c r="K1571" i="12" s="1"/>
  <c r="H1573" i="12"/>
  <c r="K1573" i="12" s="1"/>
  <c r="H1585" i="12"/>
  <c r="K1585" i="12" s="1"/>
  <c r="H1594" i="12"/>
  <c r="K1594" i="12" s="1"/>
  <c r="K1626" i="12"/>
  <c r="H1654" i="12"/>
  <c r="K1654" i="12" s="1"/>
  <c r="F1657" i="12"/>
  <c r="H1656" i="12"/>
  <c r="K1656" i="12" s="1"/>
  <c r="H1658" i="12"/>
  <c r="K1658" i="12" s="1"/>
  <c r="H1670" i="12"/>
  <c r="K1670" i="12" s="1"/>
  <c r="K1694" i="12"/>
  <c r="K1702" i="12"/>
  <c r="K1729" i="12"/>
  <c r="H1736" i="12"/>
  <c r="K1736" i="12" s="1"/>
  <c r="K1737" i="12"/>
  <c r="H1774" i="12"/>
  <c r="K1774" i="12" s="1"/>
  <c r="D1841" i="12"/>
  <c r="K1841" i="12"/>
  <c r="H1849" i="12"/>
  <c r="K1849" i="12" s="1"/>
  <c r="H2028" i="12"/>
  <c r="K2028" i="12" s="1"/>
  <c r="K1757" i="12"/>
  <c r="K1779" i="12"/>
  <c r="K1790" i="12"/>
  <c r="K1798" i="12"/>
  <c r="K1806" i="12"/>
  <c r="K1847" i="12"/>
  <c r="K1872" i="12"/>
  <c r="H1942" i="12"/>
  <c r="K1942" i="12" s="1"/>
  <c r="H1947" i="12"/>
  <c r="K1947" i="12" s="1"/>
  <c r="H1965" i="12"/>
  <c r="K1965" i="12" s="1"/>
  <c r="H1974" i="12"/>
  <c r="K1974" i="12" s="1"/>
  <c r="H2005" i="12"/>
  <c r="K2005" i="12" s="1"/>
  <c r="H1811" i="12"/>
  <c r="K1811" i="12" s="1"/>
  <c r="H1815" i="12"/>
  <c r="K1815" i="12" s="1"/>
  <c r="K1828" i="12"/>
  <c r="H1915" i="12"/>
  <c r="K1915" i="12" s="1"/>
  <c r="H1951" i="12"/>
  <c r="K1951" i="12" s="1"/>
  <c r="H2022" i="12"/>
  <c r="K2022" i="12" s="1"/>
  <c r="H1744" i="12"/>
  <c r="K1744" i="12" s="1"/>
  <c r="H1755" i="12"/>
  <c r="K1755" i="12" s="1"/>
  <c r="K1772" i="12"/>
  <c r="H1780" i="12"/>
  <c r="K1780" i="12" s="1"/>
  <c r="H1791" i="12"/>
  <c r="K1791" i="12" s="1"/>
  <c r="H1799" i="12"/>
  <c r="K1799" i="12" s="1"/>
  <c r="H1807" i="12"/>
  <c r="K1807" i="12" s="1"/>
  <c r="K1832" i="12"/>
  <c r="H1873" i="12"/>
  <c r="K1873" i="12" s="1"/>
  <c r="K1888" i="12"/>
  <c r="K1896" i="12"/>
  <c r="H1903" i="12"/>
  <c r="K1903" i="12" s="1"/>
  <c r="H1912" i="12"/>
  <c r="K1912" i="12" s="1"/>
  <c r="H1941" i="12"/>
  <c r="K1941" i="12" s="1"/>
  <c r="H1946" i="12"/>
  <c r="K1946" i="12" s="1"/>
  <c r="H1975" i="12"/>
  <c r="K1975" i="12" s="1"/>
  <c r="H1982" i="12"/>
  <c r="K1982" i="12" s="1"/>
  <c r="H1986" i="12"/>
  <c r="K1986" i="12" s="1"/>
  <c r="K1910" i="12"/>
  <c r="H1897" i="12"/>
  <c r="K1897" i="12" s="1"/>
  <c r="H1918" i="12"/>
  <c r="K1918" i="12" s="1"/>
  <c r="H1961" i="12"/>
  <c r="K1961" i="12" s="1"/>
  <c r="H1981" i="12"/>
  <c r="K1981" i="12" s="1"/>
  <c r="H1985" i="12"/>
  <c r="K1985" i="12" s="1"/>
  <c r="H1991" i="12"/>
  <c r="K1991" i="12" s="1"/>
  <c r="H2007" i="12"/>
  <c r="K2007" i="12" s="1"/>
  <c r="H2015" i="12"/>
  <c r="K2015" i="12" s="1"/>
  <c r="H2020" i="12"/>
  <c r="K2020" i="12" s="1"/>
  <c r="H2023" i="12"/>
  <c r="K2023" i="12" s="1"/>
  <c r="H2030" i="12"/>
  <c r="K2030" i="12" s="1"/>
  <c r="H2077" i="12"/>
  <c r="K2077" i="12" s="1"/>
  <c r="D1996" i="12"/>
  <c r="K1996" i="12"/>
  <c r="K1949" i="12"/>
  <c r="K1969" i="12"/>
  <c r="K1977" i="12"/>
  <c r="K1989" i="12"/>
  <c r="K2000" i="12"/>
  <c r="K2013" i="12"/>
  <c r="K2034" i="12"/>
  <c r="K2046" i="12"/>
  <c r="K2058" i="12"/>
  <c r="K2078" i="12"/>
  <c r="K2085" i="12"/>
  <c r="H2086" i="12"/>
  <c r="K2086" i="12" s="1"/>
  <c r="K2026" i="12"/>
  <c r="K2038" i="12"/>
  <c r="H2042" i="12"/>
  <c r="K2042" i="12" s="1"/>
  <c r="K2050" i="12"/>
  <c r="H2054" i="12"/>
  <c r="K2054" i="12" s="1"/>
  <c r="K2062" i="12"/>
  <c r="H2066" i="12"/>
  <c r="K2066" i="12" s="1"/>
  <c r="K2072" i="12"/>
  <c r="K2076" i="12"/>
  <c r="H2084" i="12"/>
  <c r="K2084" i="12" s="1"/>
  <c r="F2687" i="12" l="1"/>
  <c r="L2209" i="12"/>
  <c r="L2247" i="12"/>
  <c r="L2281" i="12"/>
  <c r="L2308" i="12"/>
  <c r="F2531" i="12"/>
  <c r="H2531" i="12" s="1"/>
  <c r="L2355" i="12"/>
  <c r="L2268" i="12"/>
  <c r="K2231" i="12"/>
  <c r="D2231" i="12"/>
  <c r="F2536" i="12"/>
  <c r="H2534" i="12"/>
  <c r="K2534" i="12" s="1"/>
  <c r="H2448" i="12"/>
  <c r="H2493" i="12"/>
  <c r="H2468" i="12"/>
  <c r="H2233" i="12"/>
  <c r="K2233" i="12" s="1"/>
  <c r="H2454" i="12"/>
  <c r="H2400" i="12"/>
  <c r="H2682" i="12"/>
  <c r="F2541" i="12"/>
  <c r="H2539" i="12"/>
  <c r="K2539" i="12" s="1"/>
  <c r="F2483" i="12"/>
  <c r="H2481" i="12"/>
  <c r="K2481" i="12" s="1"/>
  <c r="H2364" i="12"/>
  <c r="K2364" i="12" s="1"/>
  <c r="L2145" i="12"/>
  <c r="H2677" i="12"/>
  <c r="H2687" i="12"/>
  <c r="H2561" i="12"/>
  <c r="H2488" i="12"/>
  <c r="H2413" i="12"/>
  <c r="H1671" i="12"/>
  <c r="K1671" i="12" s="1"/>
  <c r="H1650" i="12"/>
  <c r="K1650" i="12" s="1"/>
  <c r="H1643" i="12"/>
  <c r="K1643" i="12" s="1"/>
  <c r="H1558" i="12"/>
  <c r="K1558" i="12" s="1"/>
  <c r="H1615" i="12"/>
  <c r="K1615" i="12" s="1"/>
  <c r="H1586" i="12"/>
  <c r="K1586" i="12" s="1"/>
  <c r="H1572" i="12"/>
  <c r="K1572" i="12" s="1"/>
  <c r="H1629" i="12"/>
  <c r="K1629" i="12" s="1"/>
  <c r="H1890" i="12"/>
  <c r="K1890" i="12" s="1"/>
  <c r="H1685" i="12"/>
  <c r="K1685" i="12" s="1"/>
  <c r="H1693" i="12"/>
  <c r="K1693" i="12" s="1"/>
  <c r="H1595" i="12"/>
  <c r="K1595" i="12" s="1"/>
  <c r="H1565" i="12"/>
  <c r="K1565" i="12" s="1"/>
  <c r="H1609" i="12"/>
  <c r="K1609" i="12" s="1"/>
  <c r="H1657" i="12"/>
  <c r="K1657" i="12" s="1"/>
  <c r="H1579" i="12"/>
  <c r="K1579" i="12" s="1"/>
  <c r="H1544" i="12"/>
  <c r="K1544" i="12" s="1"/>
  <c r="H1537" i="12"/>
  <c r="K1537" i="12" s="1"/>
  <c r="H1664" i="12"/>
  <c r="K1664" i="12" s="1"/>
  <c r="A10" i="12"/>
  <c r="A11" i="12"/>
  <c r="A12" i="12"/>
  <c r="A13" i="12"/>
  <c r="A14" i="12"/>
  <c r="A15" i="12"/>
  <c r="A17" i="12"/>
  <c r="A19" i="12"/>
  <c r="A22" i="12"/>
  <c r="A23" i="12"/>
  <c r="A24" i="12"/>
  <c r="A25" i="12"/>
  <c r="A27" i="12"/>
  <c r="A28" i="12"/>
  <c r="A29" i="12"/>
  <c r="A30" i="12"/>
  <c r="A33" i="12"/>
  <c r="A34" i="12"/>
  <c r="A36" i="12"/>
  <c r="A37" i="12"/>
  <c r="A38" i="12"/>
  <c r="A39" i="12"/>
  <c r="A40" i="12"/>
  <c r="A42" i="12"/>
  <c r="A43" i="12"/>
  <c r="A44" i="12"/>
  <c r="A45" i="12"/>
  <c r="A47" i="12"/>
  <c r="A48" i="12"/>
  <c r="A49" i="12"/>
  <c r="A50" i="12"/>
  <c r="A53" i="12"/>
  <c r="A54" i="12"/>
  <c r="A55" i="12"/>
  <c r="A56" i="12"/>
  <c r="A57" i="12"/>
  <c r="A61" i="12"/>
  <c r="A62" i="12"/>
  <c r="A63" i="12"/>
  <c r="A64" i="12"/>
  <c r="A66" i="12"/>
  <c r="A67" i="12"/>
  <c r="A68" i="12"/>
  <c r="A69" i="12"/>
  <c r="A82" i="12"/>
  <c r="A83" i="12"/>
  <c r="A84" i="12"/>
  <c r="A85" i="12"/>
  <c r="A88" i="12"/>
  <c r="A89" i="12"/>
  <c r="A90" i="12"/>
  <c r="A91" i="12"/>
  <c r="A93" i="12"/>
  <c r="A94" i="12"/>
  <c r="A95" i="12"/>
  <c r="A96" i="12"/>
  <c r="A97" i="12"/>
  <c r="A98" i="12"/>
  <c r="A102" i="12"/>
  <c r="A106" i="12"/>
  <c r="A109" i="12"/>
  <c r="A117" i="12"/>
  <c r="A118" i="12"/>
  <c r="A119" i="12"/>
  <c r="A120" i="12"/>
  <c r="A131" i="12"/>
  <c r="A132" i="12"/>
  <c r="A133" i="12"/>
  <c r="A134" i="12"/>
  <c r="A136" i="12"/>
  <c r="A137" i="12"/>
  <c r="A138" i="12"/>
  <c r="A139" i="12"/>
  <c r="A140" i="12"/>
  <c r="A141" i="12"/>
  <c r="A142" i="12"/>
  <c r="A144" i="12"/>
  <c r="A145" i="12"/>
  <c r="A146" i="12"/>
  <c r="A147" i="12"/>
  <c r="A150" i="12"/>
  <c r="A152" i="12"/>
  <c r="A153" i="12"/>
  <c r="A154" i="12"/>
  <c r="A156" i="12"/>
  <c r="A157" i="12"/>
  <c r="A158" i="12"/>
  <c r="A159" i="12"/>
  <c r="A161" i="12"/>
  <c r="A162" i="12"/>
  <c r="A163" i="12"/>
  <c r="A164" i="12"/>
  <c r="A166" i="12"/>
  <c r="A167" i="12"/>
  <c r="A169" i="12"/>
  <c r="A170" i="12"/>
  <c r="A171" i="12"/>
  <c r="A172" i="12"/>
  <c r="A174" i="12"/>
  <c r="A175" i="12"/>
  <c r="A176" i="12"/>
  <c r="A177" i="12"/>
  <c r="A179" i="12"/>
  <c r="A180" i="12"/>
  <c r="A182" i="12"/>
  <c r="A183" i="12"/>
  <c r="A184" i="12"/>
  <c r="A185" i="12"/>
  <c r="A188" i="12"/>
  <c r="A189" i="12"/>
  <c r="A191" i="12"/>
  <c r="A192" i="12"/>
  <c r="A193" i="12"/>
  <c r="A194" i="12"/>
  <c r="A196" i="12"/>
  <c r="A197" i="12"/>
  <c r="A198" i="12"/>
  <c r="A199" i="12"/>
  <c r="A203" i="12"/>
  <c r="A204" i="12"/>
  <c r="A206" i="12"/>
  <c r="A207" i="12"/>
  <c r="A208" i="12"/>
  <c r="A209" i="12"/>
  <c r="A213" i="12"/>
  <c r="A214" i="12"/>
  <c r="A216" i="12"/>
  <c r="A217" i="12"/>
  <c r="A218" i="12"/>
  <c r="A219" i="12"/>
  <c r="A221" i="12"/>
  <c r="A222" i="12"/>
  <c r="A223" i="12"/>
  <c r="A224" i="12"/>
  <c r="A228" i="12"/>
  <c r="A229" i="12"/>
  <c r="A231" i="12"/>
  <c r="A232" i="12"/>
  <c r="A233" i="12"/>
  <c r="A234" i="12"/>
  <c r="A238" i="12"/>
  <c r="A239" i="12"/>
  <c r="A241" i="12"/>
  <c r="A242" i="12"/>
  <c r="A243" i="12"/>
  <c r="A244" i="12"/>
  <c r="A246" i="12"/>
  <c r="A247" i="12"/>
  <c r="A248" i="12"/>
  <c r="A249" i="12"/>
  <c r="A253" i="12"/>
  <c r="A254" i="12"/>
  <c r="A256" i="12"/>
  <c r="A257" i="12"/>
  <c r="A258" i="12"/>
  <c r="A259" i="12"/>
  <c r="A261" i="12"/>
  <c r="A262" i="12"/>
  <c r="A263" i="12"/>
  <c r="A264" i="12"/>
  <c r="A268" i="12"/>
  <c r="A269" i="12"/>
  <c r="A271" i="12"/>
  <c r="A272" i="12"/>
  <c r="A273" i="12"/>
  <c r="A274" i="12"/>
  <c r="A278" i="12"/>
  <c r="A279" i="12"/>
  <c r="A281" i="12"/>
  <c r="A282" i="12"/>
  <c r="A283" i="12"/>
  <c r="A284" i="12"/>
  <c r="A286" i="12"/>
  <c r="A287" i="12"/>
  <c r="A288" i="12"/>
  <c r="A289" i="12"/>
  <c r="A293" i="12"/>
  <c r="A294" i="12"/>
  <c r="A296" i="12"/>
  <c r="A297" i="12"/>
  <c r="A298" i="12"/>
  <c r="A299" i="12"/>
  <c r="A301" i="12"/>
  <c r="A302" i="12"/>
  <c r="A303" i="12"/>
  <c r="A304" i="12"/>
  <c r="A307" i="12"/>
  <c r="A310" i="12"/>
  <c r="A311" i="12"/>
  <c r="A313" i="12"/>
  <c r="A314" i="12"/>
  <c r="A315" i="12"/>
  <c r="A316" i="12"/>
  <c r="A318" i="12"/>
  <c r="A319" i="12"/>
  <c r="A320" i="12"/>
  <c r="A321" i="12"/>
  <c r="A324" i="12"/>
  <c r="A327" i="12"/>
  <c r="A328" i="12"/>
  <c r="A330" i="12"/>
  <c r="A331" i="12"/>
  <c r="A332" i="12"/>
  <c r="A333" i="12"/>
  <c r="A337" i="12"/>
  <c r="A338" i="12"/>
  <c r="A340" i="12"/>
  <c r="A341" i="12"/>
  <c r="A342" i="12"/>
  <c r="A343" i="12"/>
  <c r="A347" i="12"/>
  <c r="A348" i="12"/>
  <c r="A350" i="12"/>
  <c r="A351" i="12"/>
  <c r="A352" i="12"/>
  <c r="A353" i="12"/>
  <c r="A355" i="12"/>
  <c r="A356" i="12"/>
  <c r="A357" i="12"/>
  <c r="A358" i="12"/>
  <c r="A361" i="12"/>
  <c r="A363" i="12"/>
  <c r="A364" i="12"/>
  <c r="A366" i="12"/>
  <c r="A367" i="12"/>
  <c r="A368" i="12"/>
  <c r="A369" i="12"/>
  <c r="A371" i="12"/>
  <c r="A372" i="12"/>
  <c r="A373" i="12"/>
  <c r="A374" i="12"/>
  <c r="A377" i="12"/>
  <c r="A379" i="12"/>
  <c r="A380" i="12"/>
  <c r="A383" i="12"/>
  <c r="A384" i="12"/>
  <c r="A385" i="12"/>
  <c r="A386" i="12"/>
  <c r="A389" i="12"/>
  <c r="A392" i="12"/>
  <c r="A393" i="12"/>
  <c r="A396" i="12"/>
  <c r="A397" i="12"/>
  <c r="A398" i="12"/>
  <c r="A399" i="12"/>
  <c r="A402" i="12"/>
  <c r="A405" i="12"/>
  <c r="A406" i="12"/>
  <c r="A408" i="12"/>
  <c r="A409" i="12"/>
  <c r="A410" i="12"/>
  <c r="A411" i="12"/>
  <c r="A414" i="12"/>
  <c r="A416" i="12"/>
  <c r="A417" i="12"/>
  <c r="A419" i="12"/>
  <c r="A420" i="12"/>
  <c r="A421" i="12"/>
  <c r="A422" i="12"/>
  <c r="A424" i="12"/>
  <c r="A425" i="12"/>
  <c r="A426" i="12"/>
  <c r="A427" i="12"/>
  <c r="A429" i="12"/>
  <c r="A430" i="12"/>
  <c r="A432" i="12"/>
  <c r="A433" i="12"/>
  <c r="A434" i="12"/>
  <c r="A435" i="12"/>
  <c r="A438" i="12"/>
  <c r="A443" i="12"/>
  <c r="A444" i="12"/>
  <c r="A446" i="12"/>
  <c r="A447" i="12"/>
  <c r="A448" i="12"/>
  <c r="A449" i="12"/>
  <c r="A453" i="12"/>
  <c r="A454" i="12"/>
  <c r="A456" i="12"/>
  <c r="A457" i="12"/>
  <c r="A458" i="12"/>
  <c r="A459" i="12"/>
  <c r="A463" i="12"/>
  <c r="A464" i="12"/>
  <c r="A465" i="12"/>
  <c r="A467" i="12"/>
  <c r="A468" i="12"/>
  <c r="A469" i="12"/>
  <c r="A470" i="12"/>
  <c r="A472" i="12"/>
  <c r="A473" i="12"/>
  <c r="A474" i="12"/>
  <c r="A475" i="12"/>
  <c r="A477" i="12"/>
  <c r="A478" i="12"/>
  <c r="A480" i="12"/>
  <c r="A481" i="12"/>
  <c r="A482" i="12"/>
  <c r="A483" i="12"/>
  <c r="A485" i="12"/>
  <c r="A486" i="12"/>
  <c r="A487" i="12"/>
  <c r="A488" i="12"/>
  <c r="A490" i="12"/>
  <c r="A491" i="12"/>
  <c r="A493" i="12"/>
  <c r="A494" i="12"/>
  <c r="A495" i="12"/>
  <c r="A496" i="12"/>
  <c r="A498" i="12"/>
  <c r="A499" i="12"/>
  <c r="A500" i="12"/>
  <c r="A501" i="12"/>
  <c r="A503" i="12"/>
  <c r="A504" i="12"/>
  <c r="A506" i="12"/>
  <c r="A507" i="12"/>
  <c r="A508" i="12"/>
  <c r="A509" i="12"/>
  <c r="A512" i="12"/>
  <c r="A513" i="12"/>
  <c r="A515" i="12"/>
  <c r="A516" i="12"/>
  <c r="A517" i="12"/>
  <c r="A518" i="12"/>
  <c r="A521" i="12"/>
  <c r="A522" i="12"/>
  <c r="A524" i="12"/>
  <c r="A525" i="12"/>
  <c r="A526" i="12"/>
  <c r="A527" i="12"/>
  <c r="A529" i="12"/>
  <c r="A530" i="12"/>
  <c r="A531" i="12"/>
  <c r="A532" i="12"/>
  <c r="A535" i="12"/>
  <c r="A536" i="12"/>
  <c r="A538" i="12"/>
  <c r="A539" i="12"/>
  <c r="A540" i="12"/>
  <c r="A541" i="12"/>
  <c r="A545" i="12"/>
  <c r="A546" i="12"/>
  <c r="A548" i="12"/>
  <c r="A549" i="12"/>
  <c r="A550" i="12"/>
  <c r="A551" i="12"/>
  <c r="A553" i="12"/>
  <c r="A554" i="12"/>
  <c r="A555" i="12"/>
  <c r="A556" i="12"/>
  <c r="A560" i="12"/>
  <c r="A561" i="12"/>
  <c r="A563" i="12"/>
  <c r="A564" i="12"/>
  <c r="A565" i="12"/>
  <c r="A566" i="12"/>
  <c r="A570" i="12"/>
  <c r="A571" i="12"/>
  <c r="A573" i="12"/>
  <c r="A574" i="12"/>
  <c r="A575" i="12"/>
  <c r="A576" i="12"/>
  <c r="A578" i="12"/>
  <c r="A579" i="12"/>
  <c r="A580" i="12"/>
  <c r="A581" i="12"/>
  <c r="A585" i="12"/>
  <c r="A586" i="12"/>
  <c r="A588" i="12"/>
  <c r="A589" i="12"/>
  <c r="A590" i="12"/>
  <c r="A591" i="12"/>
  <c r="A593" i="12"/>
  <c r="A594" i="12"/>
  <c r="A595" i="12"/>
  <c r="A596" i="12"/>
  <c r="A600" i="12"/>
  <c r="A601" i="12"/>
  <c r="A603" i="12"/>
  <c r="A604" i="12"/>
  <c r="A605" i="12"/>
  <c r="A606" i="12"/>
  <c r="A610" i="12"/>
  <c r="A611" i="12"/>
  <c r="A613" i="12"/>
  <c r="A614" i="12"/>
  <c r="A615" i="12"/>
  <c r="A616" i="12"/>
  <c r="A620" i="12"/>
  <c r="A621" i="12"/>
  <c r="A623" i="12"/>
  <c r="A624" i="12"/>
  <c r="A625" i="12"/>
  <c r="A626" i="12"/>
  <c r="A630" i="12"/>
  <c r="A631" i="12"/>
  <c r="A633" i="12"/>
  <c r="A634" i="12"/>
  <c r="A635" i="12"/>
  <c r="A636" i="12"/>
  <c r="A638" i="12"/>
  <c r="A639" i="12"/>
  <c r="A640" i="12"/>
  <c r="A641" i="12"/>
  <c r="A645" i="12"/>
  <c r="A646" i="12"/>
  <c r="A648" i="12"/>
  <c r="A649" i="12"/>
  <c r="A650" i="12"/>
  <c r="A651" i="12"/>
  <c r="A653" i="12"/>
  <c r="A654" i="12"/>
  <c r="A655" i="12"/>
  <c r="A656" i="12"/>
  <c r="A660" i="12"/>
  <c r="A661" i="12"/>
  <c r="A663" i="12"/>
  <c r="A664" i="12"/>
  <c r="A665" i="12"/>
  <c r="A666" i="12"/>
  <c r="A670" i="12"/>
  <c r="A671" i="12"/>
  <c r="A673" i="12"/>
  <c r="A674" i="12"/>
  <c r="A675" i="12"/>
  <c r="A676" i="12"/>
  <c r="A678" i="12"/>
  <c r="A679" i="12"/>
  <c r="A680" i="12"/>
  <c r="A681" i="12"/>
  <c r="A685" i="12"/>
  <c r="A686" i="12"/>
  <c r="A688" i="12"/>
  <c r="A689" i="12"/>
  <c r="A690" i="12"/>
  <c r="A691" i="12"/>
  <c r="A695" i="12"/>
  <c r="A696" i="12"/>
  <c r="A698" i="12"/>
  <c r="A699" i="12"/>
  <c r="A700" i="12"/>
  <c r="A701" i="12"/>
  <c r="A705" i="12"/>
  <c r="A706" i="12"/>
  <c r="A708" i="12"/>
  <c r="A709" i="12"/>
  <c r="A710" i="12"/>
  <c r="A711" i="12"/>
  <c r="A714" i="12"/>
  <c r="A716" i="12"/>
  <c r="A717" i="12"/>
  <c r="A719" i="12"/>
  <c r="A720" i="12"/>
  <c r="A721" i="12"/>
  <c r="A722" i="12"/>
  <c r="A724" i="12"/>
  <c r="A725" i="12"/>
  <c r="A726" i="12"/>
  <c r="A727" i="12"/>
  <c r="A729" i="12"/>
  <c r="A730" i="12"/>
  <c r="A732" i="12"/>
  <c r="A733" i="12"/>
  <c r="A734" i="12"/>
  <c r="A735" i="12"/>
  <c r="A739" i="12"/>
  <c r="A740" i="12"/>
  <c r="A742" i="12"/>
  <c r="A743" i="12"/>
  <c r="A744" i="12"/>
  <c r="A745" i="12"/>
  <c r="A749" i="12"/>
  <c r="A750" i="12"/>
  <c r="A753" i="12"/>
  <c r="A754" i="12"/>
  <c r="A755" i="12"/>
  <c r="A757" i="12"/>
  <c r="A758" i="12"/>
  <c r="A759" i="12"/>
  <c r="A760" i="12"/>
  <c r="A762" i="12"/>
  <c r="A763" i="12"/>
  <c r="A764" i="12"/>
  <c r="A765" i="12"/>
  <c r="A767" i="12"/>
  <c r="A768" i="12"/>
  <c r="A770" i="12"/>
  <c r="A771" i="12"/>
  <c r="A772" i="12"/>
  <c r="A773" i="12"/>
  <c r="A775" i="12"/>
  <c r="A776" i="12"/>
  <c r="A777" i="12"/>
  <c r="A778" i="12"/>
  <c r="A780" i="12"/>
  <c r="A781" i="12"/>
  <c r="A783" i="12"/>
  <c r="A784" i="12"/>
  <c r="A785" i="12"/>
  <c r="A786" i="12"/>
  <c r="A788" i="12"/>
  <c r="A789" i="12"/>
  <c r="A790" i="12"/>
  <c r="A791" i="12"/>
  <c r="A793" i="12"/>
  <c r="A794" i="12"/>
  <c r="A796" i="12"/>
  <c r="A797" i="12"/>
  <c r="A798" i="12"/>
  <c r="A799" i="12"/>
  <c r="A802" i="12"/>
  <c r="A803" i="12"/>
  <c r="A805" i="12"/>
  <c r="A806" i="12"/>
  <c r="A807" i="12"/>
  <c r="A808" i="12"/>
  <c r="A811" i="12"/>
  <c r="A812" i="12"/>
  <c r="A814" i="12"/>
  <c r="A815" i="12"/>
  <c r="A816" i="12"/>
  <c r="A817" i="12"/>
  <c r="A819" i="12"/>
  <c r="A820" i="12"/>
  <c r="A821" i="12"/>
  <c r="A822" i="12"/>
  <c r="A825" i="12"/>
  <c r="A826" i="12"/>
  <c r="A828" i="12"/>
  <c r="A829" i="12"/>
  <c r="A830" i="12"/>
  <c r="A831" i="12"/>
  <c r="A835" i="12"/>
  <c r="A836" i="12"/>
  <c r="A838" i="12"/>
  <c r="A839" i="12"/>
  <c r="A840" i="12"/>
  <c r="A841" i="12"/>
  <c r="A843" i="12"/>
  <c r="A844" i="12"/>
  <c r="A845" i="12"/>
  <c r="A846" i="12"/>
  <c r="A850" i="12"/>
  <c r="A851" i="12"/>
  <c r="A853" i="12"/>
  <c r="A854" i="12"/>
  <c r="A855" i="12"/>
  <c r="A856" i="12"/>
  <c r="A860" i="12"/>
  <c r="A861" i="12"/>
  <c r="A863" i="12"/>
  <c r="A864" i="12"/>
  <c r="A865" i="12"/>
  <c r="A866" i="12"/>
  <c r="A868" i="12"/>
  <c r="A869" i="12"/>
  <c r="A870" i="12"/>
  <c r="A871" i="12"/>
  <c r="A875" i="12"/>
  <c r="A876" i="12"/>
  <c r="A878" i="12"/>
  <c r="A879" i="12"/>
  <c r="A880" i="12"/>
  <c r="A881" i="12"/>
  <c r="A883" i="12"/>
  <c r="A884" i="12"/>
  <c r="A885" i="12"/>
  <c r="A886" i="12"/>
  <c r="A890" i="12"/>
  <c r="A891" i="12"/>
  <c r="A893" i="12"/>
  <c r="A894" i="12"/>
  <c r="A895" i="12"/>
  <c r="A896" i="12"/>
  <c r="A900" i="12"/>
  <c r="A901" i="12"/>
  <c r="A903" i="12"/>
  <c r="A904" i="12"/>
  <c r="A905" i="12"/>
  <c r="A906" i="12"/>
  <c r="A910" i="12"/>
  <c r="A911" i="12"/>
  <c r="A913" i="12"/>
  <c r="A914" i="12"/>
  <c r="A915" i="12"/>
  <c r="A916" i="12"/>
  <c r="A920" i="12"/>
  <c r="A921" i="12"/>
  <c r="A923" i="12"/>
  <c r="A924" i="12"/>
  <c r="A925" i="12"/>
  <c r="A926" i="12"/>
  <c r="A928" i="12"/>
  <c r="A929" i="12"/>
  <c r="A930" i="12"/>
  <c r="A931" i="12"/>
  <c r="A935" i="12"/>
  <c r="A936" i="12"/>
  <c r="A938" i="12"/>
  <c r="A939" i="12"/>
  <c r="A940" i="12"/>
  <c r="A941" i="12"/>
  <c r="A943" i="12"/>
  <c r="A944" i="12"/>
  <c r="A945" i="12"/>
  <c r="A946" i="12"/>
  <c r="A950" i="12"/>
  <c r="A951" i="12"/>
  <c r="A953" i="12"/>
  <c r="A954" i="12"/>
  <c r="A955" i="12"/>
  <c r="A956" i="12"/>
  <c r="A960" i="12"/>
  <c r="A961" i="12"/>
  <c r="A963" i="12"/>
  <c r="A964" i="12"/>
  <c r="A965" i="12"/>
  <c r="A966" i="12"/>
  <c r="A968" i="12"/>
  <c r="A969" i="12"/>
  <c r="A970" i="12"/>
  <c r="A971" i="12"/>
  <c r="A975" i="12"/>
  <c r="A976" i="12"/>
  <c r="A978" i="12"/>
  <c r="A979" i="12"/>
  <c r="A980" i="12"/>
  <c r="A981" i="12"/>
  <c r="A985" i="12"/>
  <c r="A986" i="12"/>
  <c r="A988" i="12"/>
  <c r="A989" i="12"/>
  <c r="A990" i="12"/>
  <c r="A991" i="12"/>
  <c r="A995" i="12"/>
  <c r="A996" i="12"/>
  <c r="A998" i="12"/>
  <c r="A999" i="12"/>
  <c r="A1000" i="12"/>
  <c r="A1001" i="12"/>
  <c r="A1004" i="12"/>
  <c r="A1006" i="12"/>
  <c r="A1007" i="12"/>
  <c r="A1009" i="12"/>
  <c r="A1010" i="12"/>
  <c r="A1011" i="12"/>
  <c r="A1012" i="12"/>
  <c r="A1014" i="12"/>
  <c r="A1015" i="12"/>
  <c r="A1016" i="12"/>
  <c r="A1017" i="12"/>
  <c r="A1019" i="12"/>
  <c r="A1020" i="12"/>
  <c r="A1022" i="12"/>
  <c r="A1023" i="12"/>
  <c r="A1024" i="12"/>
  <c r="A1025" i="12"/>
  <c r="A1029" i="12"/>
  <c r="A1030" i="12"/>
  <c r="A1032" i="12"/>
  <c r="A1033" i="12"/>
  <c r="A1034" i="12"/>
  <c r="A1035" i="12"/>
  <c r="A1039" i="12"/>
  <c r="A1040" i="12"/>
  <c r="A1043" i="12"/>
  <c r="A1044" i="12"/>
  <c r="A1045" i="12"/>
  <c r="A1047" i="12"/>
  <c r="A1048" i="12"/>
  <c r="A1049" i="12"/>
  <c r="A1050" i="12"/>
  <c r="A1052" i="12"/>
  <c r="A1053" i="12"/>
  <c r="A1054" i="12"/>
  <c r="A1055" i="12"/>
  <c r="A1057" i="12"/>
  <c r="A1058" i="12"/>
  <c r="A1060" i="12"/>
  <c r="A1061" i="12"/>
  <c r="A1062" i="12"/>
  <c r="A1063" i="12"/>
  <c r="A1065" i="12"/>
  <c r="A1066" i="12"/>
  <c r="A1067" i="12"/>
  <c r="A1068" i="12"/>
  <c r="A1070" i="12"/>
  <c r="A1071" i="12"/>
  <c r="A1073" i="12"/>
  <c r="A1074" i="12"/>
  <c r="A1075" i="12"/>
  <c r="A1076" i="12"/>
  <c r="A1078" i="12"/>
  <c r="A1079" i="12"/>
  <c r="A1080" i="12"/>
  <c r="A1081" i="12"/>
  <c r="A1083" i="12"/>
  <c r="A1084" i="12"/>
  <c r="A1086" i="12"/>
  <c r="A1087" i="12"/>
  <c r="A1088" i="12"/>
  <c r="A1089" i="12"/>
  <c r="A1092" i="12"/>
  <c r="A1093" i="12"/>
  <c r="A1095" i="12"/>
  <c r="A1096" i="12"/>
  <c r="A1097" i="12"/>
  <c r="A1098" i="12"/>
  <c r="A1101" i="12"/>
  <c r="A1102" i="12"/>
  <c r="A1104" i="12"/>
  <c r="A1105" i="12"/>
  <c r="A1106" i="12"/>
  <c r="A1107" i="12"/>
  <c r="A1109" i="12"/>
  <c r="A1110" i="12"/>
  <c r="A1111" i="12"/>
  <c r="A1112" i="12"/>
  <c r="A1115" i="12"/>
  <c r="A1116" i="12"/>
  <c r="A1118" i="12"/>
  <c r="A1119" i="12"/>
  <c r="A1120" i="12"/>
  <c r="A1121" i="12"/>
  <c r="A1125" i="12"/>
  <c r="A1126" i="12"/>
  <c r="A1128" i="12"/>
  <c r="A1129" i="12"/>
  <c r="A1130" i="12"/>
  <c r="A1131" i="12"/>
  <c r="A1133" i="12"/>
  <c r="A1134" i="12"/>
  <c r="A1135" i="12"/>
  <c r="A1136" i="12"/>
  <c r="A1140" i="12"/>
  <c r="A1141" i="12"/>
  <c r="A1143" i="12"/>
  <c r="A1144" i="12"/>
  <c r="A1145" i="12"/>
  <c r="A1146" i="12"/>
  <c r="A1150" i="12"/>
  <c r="A1151" i="12"/>
  <c r="A1153" i="12"/>
  <c r="A1154" i="12"/>
  <c r="A1155" i="12"/>
  <c r="A1156" i="12"/>
  <c r="A1158" i="12"/>
  <c r="A1159" i="12"/>
  <c r="A1160" i="12"/>
  <c r="A1161" i="12"/>
  <c r="A1165" i="12"/>
  <c r="A1166" i="12"/>
  <c r="A1168" i="12"/>
  <c r="A1169" i="12"/>
  <c r="A1170" i="12"/>
  <c r="A1171" i="12"/>
  <c r="A1173" i="12"/>
  <c r="A1174" i="12"/>
  <c r="A1175" i="12"/>
  <c r="A1176" i="12"/>
  <c r="A1180" i="12"/>
  <c r="A1181" i="12"/>
  <c r="A1183" i="12"/>
  <c r="A1184" i="12"/>
  <c r="A1185" i="12"/>
  <c r="A1186" i="12"/>
  <c r="A1190" i="12"/>
  <c r="A1191" i="12"/>
  <c r="A1193" i="12"/>
  <c r="A1194" i="12"/>
  <c r="A1195" i="12"/>
  <c r="A1196" i="12"/>
  <c r="A1200" i="12"/>
  <c r="A1201" i="12"/>
  <c r="A1203" i="12"/>
  <c r="A1204" i="12"/>
  <c r="A1205" i="12"/>
  <c r="A1206" i="12"/>
  <c r="A1210" i="12"/>
  <c r="A1211" i="12"/>
  <c r="A1213" i="12"/>
  <c r="A1214" i="12"/>
  <c r="A1215" i="12"/>
  <c r="A1216" i="12"/>
  <c r="A1220" i="12"/>
  <c r="A1221" i="12"/>
  <c r="A1223" i="12"/>
  <c r="A1224" i="12"/>
  <c r="A1225" i="12"/>
  <c r="A1226" i="12"/>
  <c r="A1229" i="12"/>
  <c r="A1232" i="12"/>
  <c r="A1233" i="12"/>
  <c r="A1235" i="12"/>
  <c r="A1236" i="12"/>
  <c r="A1237" i="12"/>
  <c r="A1238" i="12"/>
  <c r="A1242" i="12"/>
  <c r="A1243" i="12"/>
  <c r="A1245" i="12"/>
  <c r="A1246" i="12"/>
  <c r="A1247" i="12"/>
  <c r="A1248" i="12"/>
  <c r="A1251" i="12"/>
  <c r="A1253" i="12"/>
  <c r="A1254" i="12"/>
  <c r="A1256" i="12"/>
  <c r="A1257" i="12"/>
  <c r="A1258" i="12"/>
  <c r="A1259" i="12"/>
  <c r="A1261" i="12"/>
  <c r="A1262" i="12"/>
  <c r="A1263" i="12"/>
  <c r="A1264" i="12"/>
  <c r="A1266" i="12"/>
  <c r="A1267" i="12"/>
  <c r="A1269" i="12"/>
  <c r="A1270" i="12"/>
  <c r="A1271" i="12"/>
  <c r="A1272" i="12"/>
  <c r="A1276" i="12"/>
  <c r="A1277" i="12"/>
  <c r="A1279" i="12"/>
  <c r="A1280" i="12"/>
  <c r="A1281" i="12"/>
  <c r="A1282" i="12"/>
  <c r="A1286" i="12"/>
  <c r="A1287" i="12"/>
  <c r="A1290" i="12"/>
  <c r="A1291" i="12"/>
  <c r="A1292" i="12"/>
  <c r="A1294" i="12"/>
  <c r="A1295" i="12"/>
  <c r="A1296" i="12"/>
  <c r="A1297" i="12"/>
  <c r="A1299" i="12"/>
  <c r="A1300" i="12"/>
  <c r="A1302" i="12"/>
  <c r="A1303" i="12"/>
  <c r="A1304" i="12"/>
  <c r="A1305" i="12"/>
  <c r="A1309" i="12"/>
  <c r="A1310" i="12"/>
  <c r="A1313" i="12"/>
  <c r="A1314" i="12"/>
  <c r="A1315" i="12"/>
  <c r="A1316" i="12"/>
  <c r="A1325" i="12"/>
  <c r="A1326" i="12"/>
  <c r="A1327" i="12"/>
  <c r="A1328" i="12"/>
  <c r="A1330" i="12"/>
  <c r="A1331" i="12"/>
  <c r="A1332" i="12"/>
  <c r="A1333" i="12"/>
  <c r="A1337" i="12"/>
  <c r="A1338" i="12"/>
  <c r="A1339" i="12"/>
  <c r="A1340" i="12"/>
  <c r="A1342" i="12"/>
  <c r="A1343" i="12"/>
  <c r="A1344" i="12"/>
  <c r="A1345" i="12"/>
  <c r="A1348" i="12"/>
  <c r="A1349" i="12"/>
  <c r="A1350" i="12"/>
  <c r="A1351" i="12"/>
  <c r="A1353" i="12"/>
  <c r="A1354" i="12"/>
  <c r="A1355" i="12"/>
  <c r="A1356" i="12"/>
  <c r="A1359" i="12"/>
  <c r="A1360" i="12"/>
  <c r="A1361" i="12"/>
  <c r="A1362" i="12"/>
  <c r="A1364" i="12"/>
  <c r="A1365" i="12"/>
  <c r="A1366" i="12"/>
  <c r="A1367" i="12"/>
  <c r="A1369" i="12"/>
  <c r="A1370" i="12"/>
  <c r="A1371" i="12"/>
  <c r="A1372" i="12"/>
  <c r="A1373" i="12"/>
  <c r="A1381" i="12"/>
  <c r="A1384" i="12"/>
  <c r="A1385" i="12"/>
  <c r="A1386" i="12"/>
  <c r="A1387" i="12"/>
  <c r="A1388" i="12"/>
  <c r="A1391" i="12"/>
  <c r="A1394" i="12"/>
  <c r="A1397" i="12"/>
  <c r="A1398" i="12"/>
  <c r="A1399" i="12"/>
  <c r="A1400" i="12"/>
  <c r="A1401" i="12"/>
  <c r="A1414" i="12"/>
  <c r="A1415" i="12"/>
  <c r="A1416" i="12"/>
  <c r="A1417" i="12"/>
  <c r="A1419" i="12"/>
  <c r="A1420" i="12"/>
  <c r="A1421" i="12"/>
  <c r="A1422" i="12"/>
  <c r="A1424" i="12"/>
  <c r="A1425" i="12"/>
  <c r="A1426" i="12"/>
  <c r="A1427" i="12"/>
  <c r="A1436" i="12"/>
  <c r="A1437" i="12"/>
  <c r="A1438" i="12"/>
  <c r="A1439" i="12"/>
  <c r="A1441" i="12"/>
  <c r="A1442" i="12"/>
  <c r="A1443" i="12"/>
  <c r="A1444" i="12"/>
  <c r="A1446" i="12"/>
  <c r="A1447" i="12"/>
  <c r="A1448" i="12"/>
  <c r="A1449" i="12"/>
  <c r="A1461" i="12"/>
  <c r="A1462" i="12"/>
  <c r="A1463" i="12"/>
  <c r="A1464" i="12"/>
  <c r="A1465" i="12"/>
  <c r="A1474" i="12"/>
  <c r="A1475" i="12"/>
  <c r="A1476" i="12"/>
  <c r="A1477" i="12"/>
  <c r="A1478" i="12"/>
  <c r="A1480" i="12"/>
  <c r="A1481" i="12"/>
  <c r="A1490" i="12"/>
  <c r="A1491" i="12"/>
  <c r="A1497" i="12"/>
  <c r="A1498" i="12"/>
  <c r="A1500" i="12"/>
  <c r="A1501" i="12"/>
  <c r="A1504" i="12"/>
  <c r="A1505" i="12"/>
  <c r="A1506" i="12"/>
  <c r="A1507" i="12"/>
  <c r="A1508" i="12"/>
  <c r="A1510" i="12"/>
  <c r="A1511" i="12"/>
  <c r="A1512" i="12"/>
  <c r="A1513" i="12"/>
  <c r="H2483" i="12" l="1"/>
  <c r="L2238" i="12"/>
  <c r="H2541" i="12"/>
  <c r="H2536" i="12"/>
  <c r="H1509" i="12" l="1"/>
  <c r="K1509" i="12" s="1"/>
  <c r="L1511" i="12" s="1"/>
  <c r="J1323" i="12" l="1"/>
  <c r="J1380" i="12"/>
  <c r="F1380" i="12"/>
  <c r="H1380" i="12" s="1"/>
  <c r="K1380" i="12" s="1"/>
  <c r="A1516" i="12" l="1"/>
  <c r="H1473" i="12"/>
  <c r="K1473" i="12" s="1"/>
  <c r="H1468" i="12"/>
  <c r="K1468" i="12" s="1"/>
  <c r="J87" i="12" l="1"/>
  <c r="J81" i="12"/>
  <c r="H41" i="12"/>
  <c r="H46" i="12"/>
  <c r="K46" i="12" l="1"/>
  <c r="L48" i="12" s="1"/>
  <c r="H1458" i="12" l="1"/>
  <c r="K1458" i="12" s="1"/>
  <c r="H1460" i="12"/>
  <c r="K1460" i="12" s="1"/>
  <c r="F92" i="12"/>
  <c r="F87" i="12"/>
  <c r="H87" i="12" s="1"/>
  <c r="K87" i="12" s="1"/>
  <c r="F86" i="12"/>
  <c r="H86" i="12" s="1"/>
  <c r="K86" i="12" s="1"/>
  <c r="H1454" i="12"/>
  <c r="K1454" i="12" s="1"/>
  <c r="H1455" i="12"/>
  <c r="K1455" i="12" s="1"/>
  <c r="H1456" i="12"/>
  <c r="K1456" i="12" s="1"/>
  <c r="H1457" i="12"/>
  <c r="K1457" i="12" s="1"/>
  <c r="H1459" i="12"/>
  <c r="K1459" i="12" s="1"/>
  <c r="H1450" i="12"/>
  <c r="K1450" i="12" s="1"/>
  <c r="H1451" i="12"/>
  <c r="K1451" i="12" s="1"/>
  <c r="H1452" i="12"/>
  <c r="K1452" i="12" s="1"/>
  <c r="H1445" i="12"/>
  <c r="K1445" i="12" s="1"/>
  <c r="L1447" i="12" s="1"/>
  <c r="F1434" i="12"/>
  <c r="H1434" i="12" s="1"/>
  <c r="K1434" i="12" s="1"/>
  <c r="H1433" i="12"/>
  <c r="K1433" i="12" s="1"/>
  <c r="H1432" i="12"/>
  <c r="K1432" i="12" s="1"/>
  <c r="H1428" i="12"/>
  <c r="K1428" i="12" s="1"/>
  <c r="H1429" i="12"/>
  <c r="K1429" i="12" s="1"/>
  <c r="H1431" i="12"/>
  <c r="K1431" i="12" s="1"/>
  <c r="H1430" i="12"/>
  <c r="K1430" i="12" s="1"/>
  <c r="H1435" i="12"/>
  <c r="K1435" i="12" s="1"/>
  <c r="L1437" i="12" l="1"/>
  <c r="L89" i="12"/>
  <c r="F1377" i="12"/>
  <c r="F1378" i="12"/>
  <c r="H1378" i="12" s="1"/>
  <c r="K1378" i="12" s="1"/>
  <c r="F1379" i="12"/>
  <c r="H1379" i="12" s="1"/>
  <c r="J1379" i="12"/>
  <c r="F1363" i="12"/>
  <c r="H1363" i="12" s="1"/>
  <c r="K1363" i="12" s="1"/>
  <c r="F1368" i="12"/>
  <c r="H1368" i="12" s="1"/>
  <c r="K1368" i="12" s="1"/>
  <c r="L1370" i="12" s="1"/>
  <c r="F1389" i="12"/>
  <c r="F1390" i="12"/>
  <c r="H1390" i="12" s="1"/>
  <c r="K1390" i="12" s="1"/>
  <c r="F1324" i="12"/>
  <c r="F65" i="12"/>
  <c r="K1379" i="12" l="1"/>
  <c r="L1365" i="12"/>
  <c r="H1440" i="12" l="1"/>
  <c r="K1440" i="12" s="1"/>
  <c r="L1442" i="12" s="1"/>
  <c r="H1383" i="12"/>
  <c r="K1383" i="12" s="1"/>
  <c r="H92" i="12"/>
  <c r="K92" i="12" s="1"/>
  <c r="L94" i="12" s="1"/>
  <c r="H1382" i="12"/>
  <c r="K1382" i="12" s="1"/>
  <c r="H35" i="12"/>
  <c r="K35" i="12" s="1"/>
  <c r="F32" i="12"/>
  <c r="F31" i="12"/>
  <c r="H32" i="12" l="1"/>
  <c r="K32" i="12" s="1"/>
  <c r="J1347" i="12" l="1"/>
  <c r="J1358" i="12"/>
  <c r="J1520" i="12"/>
  <c r="J1519" i="12"/>
  <c r="J1503" i="12"/>
  <c r="J1496" i="12"/>
  <c r="J1495" i="12"/>
  <c r="J1494" i="12"/>
  <c r="J1493" i="12"/>
  <c r="J1492" i="12"/>
  <c r="J1488" i="12"/>
  <c r="J1489" i="12"/>
  <c r="J1502" i="12"/>
  <c r="J1375" i="12"/>
  <c r="J1376" i="12"/>
  <c r="K41" i="12" l="1"/>
  <c r="L43" i="12" s="1"/>
  <c r="H1423" i="12" l="1"/>
  <c r="K1423" i="12" s="1"/>
  <c r="L1425" i="12" s="1"/>
  <c r="H26" i="12"/>
  <c r="K26" i="12" s="1"/>
  <c r="L28" i="12" s="1"/>
  <c r="H1514" i="12"/>
  <c r="K1514" i="12" s="1"/>
  <c r="L1516" i="12" s="1"/>
  <c r="J1311" i="12"/>
  <c r="J1308" i="12"/>
  <c r="J1288" i="12"/>
  <c r="J1285" i="12"/>
  <c r="J1275" i="12"/>
  <c r="J1124" i="12"/>
  <c r="J1041" i="12"/>
  <c r="J1038" i="12"/>
  <c r="J1028" i="12"/>
  <c r="J834" i="12"/>
  <c r="J751" i="12"/>
  <c r="J748" i="12"/>
  <c r="J738" i="12"/>
  <c r="J544" i="12"/>
  <c r="J452" i="12"/>
  <c r="J462" i="12"/>
  <c r="J1312" i="12"/>
  <c r="J1307" i="12"/>
  <c r="J1289" i="12"/>
  <c r="J1284" i="12"/>
  <c r="J1274" i="12"/>
  <c r="J1240" i="12"/>
  <c r="J1163" i="12"/>
  <c r="J1123" i="12"/>
  <c r="J1042" i="12"/>
  <c r="J1037" i="12"/>
  <c r="J1027" i="12"/>
  <c r="J993" i="12"/>
  <c r="J983" i="12"/>
  <c r="J948" i="12"/>
  <c r="J873" i="12"/>
  <c r="J833" i="12"/>
  <c r="J752" i="12"/>
  <c r="J747" i="12"/>
  <c r="J737" i="12"/>
  <c r="J703" i="12"/>
  <c r="J693" i="12"/>
  <c r="J658" i="12"/>
  <c r="J583" i="12"/>
  <c r="J543" i="12"/>
  <c r="J461" i="12"/>
  <c r="J451" i="12"/>
  <c r="J440" i="12"/>
  <c r="J345" i="12"/>
  <c r="J390" i="12"/>
  <c r="J439" i="12"/>
  <c r="J388" i="12"/>
  <c r="J437" i="12"/>
  <c r="J326" i="12"/>
  <c r="J1231" i="12"/>
  <c r="J511" i="12"/>
  <c r="J628" i="12"/>
  <c r="J801" i="12"/>
  <c r="J918" i="12"/>
  <c r="J1091" i="12"/>
  <c r="J1208" i="12"/>
  <c r="J908" i="12"/>
  <c r="J1198" i="12"/>
  <c r="J236" i="12"/>
  <c r="J291" i="12"/>
  <c r="J404" i="12"/>
  <c r="J534" i="12"/>
  <c r="J598" i="12"/>
  <c r="J608" i="12"/>
  <c r="J683" i="12"/>
  <c r="J824" i="12"/>
  <c r="J888" i="12"/>
  <c r="J898" i="12"/>
  <c r="J973" i="12"/>
  <c r="J1114" i="12"/>
  <c r="J1178" i="12"/>
  <c r="J1188" i="12"/>
  <c r="J212" i="12"/>
  <c r="J227" i="12"/>
  <c r="J237" i="12"/>
  <c r="J252" i="12"/>
  <c r="J267" i="12"/>
  <c r="J277" i="12"/>
  <c r="J292" i="12"/>
  <c r="J336" i="12"/>
  <c r="J346" i="12"/>
  <c r="J559" i="12"/>
  <c r="J569" i="12"/>
  <c r="J584" i="12"/>
  <c r="J599" i="12"/>
  <c r="J609" i="12"/>
  <c r="J619" i="12"/>
  <c r="J629" i="12"/>
  <c r="J644" i="12"/>
  <c r="J659" i="12"/>
  <c r="J669" i="12"/>
  <c r="J684" i="12"/>
  <c r="J694" i="12"/>
  <c r="J704" i="12"/>
  <c r="J849" i="12"/>
  <c r="J859" i="12"/>
  <c r="J874" i="12"/>
  <c r="J889" i="12"/>
  <c r="J899" i="12"/>
  <c r="J909" i="12"/>
  <c r="J919" i="12"/>
  <c r="J934" i="12"/>
  <c r="J949" i="12"/>
  <c r="J959" i="12"/>
  <c r="J974" i="12"/>
  <c r="J984" i="12"/>
  <c r="J994" i="12"/>
  <c r="J1139" i="12"/>
  <c r="J1149" i="12"/>
  <c r="J1164" i="12"/>
  <c r="J1179" i="12"/>
  <c r="J1189" i="12"/>
  <c r="J1199" i="12"/>
  <c r="J1209" i="12"/>
  <c r="J1219" i="12"/>
  <c r="J1241" i="12"/>
  <c r="J335" i="12"/>
  <c r="J201" i="12"/>
  <c r="J211" i="12"/>
  <c r="J266" i="12"/>
  <c r="J391" i="12"/>
  <c r="J520" i="12"/>
  <c r="J558" i="12"/>
  <c r="J568" i="12"/>
  <c r="J643" i="12"/>
  <c r="J668" i="12"/>
  <c r="J810" i="12"/>
  <c r="J848" i="12"/>
  <c r="J858" i="12"/>
  <c r="J933" i="12"/>
  <c r="J958" i="12"/>
  <c r="J1100" i="12"/>
  <c r="J1138" i="12"/>
  <c r="J1148" i="12"/>
  <c r="J1218" i="12"/>
  <c r="J308" i="12"/>
  <c r="J378" i="12"/>
  <c r="J415" i="12"/>
  <c r="J715" i="12"/>
  <c r="J1005" i="12"/>
  <c r="J1230" i="12"/>
  <c r="J1252" i="12"/>
  <c r="J306" i="12"/>
  <c r="J376" i="12"/>
  <c r="J413" i="12"/>
  <c r="J713" i="12"/>
  <c r="J1003" i="12"/>
  <c r="J1228" i="12"/>
  <c r="J1250" i="12"/>
  <c r="J165" i="12"/>
  <c r="J178" i="12"/>
  <c r="J186" i="12"/>
  <c r="J200" i="12"/>
  <c r="J210" i="12"/>
  <c r="J225" i="12"/>
  <c r="J235" i="12"/>
  <c r="J250" i="12"/>
  <c r="J265" i="12"/>
  <c r="J275" i="12"/>
  <c r="J290" i="12"/>
  <c r="J305" i="12"/>
  <c r="J322" i="12"/>
  <c r="J334" i="12"/>
  <c r="J344" i="12"/>
  <c r="J359" i="12"/>
  <c r="J375" i="12"/>
  <c r="J387" i="12"/>
  <c r="J400" i="12"/>
  <c r="J412" i="12"/>
  <c r="J428" i="12"/>
  <c r="J436" i="12"/>
  <c r="J450" i="12"/>
  <c r="J460" i="12"/>
  <c r="J476" i="12"/>
  <c r="J489" i="12"/>
  <c r="J502" i="12"/>
  <c r="J510" i="12"/>
  <c r="J519" i="12"/>
  <c r="J533" i="12"/>
  <c r="J542" i="12"/>
  <c r="J557" i="12"/>
  <c r="J567" i="12"/>
  <c r="J582" i="12"/>
  <c r="J597" i="12"/>
  <c r="J607" i="12"/>
  <c r="J617" i="12"/>
  <c r="J627" i="12"/>
  <c r="J642" i="12"/>
  <c r="J657" i="12"/>
  <c r="J667" i="12"/>
  <c r="J682" i="12"/>
  <c r="J692" i="12"/>
  <c r="J702" i="12"/>
  <c r="J712" i="12"/>
  <c r="J728" i="12"/>
  <c r="J736" i="12"/>
  <c r="J746" i="12"/>
  <c r="J766" i="12"/>
  <c r="J779" i="12"/>
  <c r="J792" i="12"/>
  <c r="J800" i="12"/>
  <c r="J809" i="12"/>
  <c r="J823" i="12"/>
  <c r="J832" i="12"/>
  <c r="J847" i="12"/>
  <c r="J857" i="12"/>
  <c r="J872" i="12"/>
  <c r="J887" i="12"/>
  <c r="J897" i="12"/>
  <c r="J907" i="12"/>
  <c r="J917" i="12"/>
  <c r="J932" i="12"/>
  <c r="J947" i="12"/>
  <c r="J957" i="12"/>
  <c r="J972" i="12"/>
  <c r="J982" i="12"/>
  <c r="J992" i="12"/>
  <c r="J1002" i="12"/>
  <c r="J1018" i="12"/>
  <c r="J1026" i="12"/>
  <c r="J1036" i="12"/>
  <c r="J1056" i="12"/>
  <c r="J1069" i="12"/>
  <c r="J1082" i="12"/>
  <c r="J1090" i="12"/>
  <c r="J1099" i="12"/>
  <c r="J1113" i="12"/>
  <c r="J1122" i="12"/>
  <c r="J1137" i="12"/>
  <c r="J1147" i="12"/>
  <c r="J1162" i="12"/>
  <c r="J1177" i="12"/>
  <c r="J1187" i="12"/>
  <c r="J1197" i="12"/>
  <c r="J1207" i="12"/>
  <c r="J1217" i="12"/>
  <c r="J1227" i="12"/>
  <c r="J1239" i="12"/>
  <c r="J1249" i="12"/>
  <c r="J1265" i="12"/>
  <c r="J1273" i="12"/>
  <c r="J1283" i="12"/>
  <c r="J1298" i="12"/>
  <c r="J1306" i="12"/>
  <c r="J173" i="12"/>
  <c r="J195" i="12"/>
  <c r="J220" i="12"/>
  <c r="J230" i="12"/>
  <c r="J245" i="12"/>
  <c r="J260" i="12"/>
  <c r="J285" i="12"/>
  <c r="J300" i="12"/>
  <c r="J317" i="12"/>
  <c r="J354" i="12"/>
  <c r="J370" i="12"/>
  <c r="J423" i="12"/>
  <c r="J471" i="12"/>
  <c r="J484" i="12"/>
  <c r="J497" i="12"/>
  <c r="J528" i="12"/>
  <c r="J552" i="12"/>
  <c r="J577" i="12"/>
  <c r="J592" i="12"/>
  <c r="J602" i="12"/>
  <c r="J612" i="12"/>
  <c r="J637" i="12"/>
  <c r="J652" i="12"/>
  <c r="J677" i="12"/>
  <c r="J723" i="12"/>
  <c r="J761" i="12"/>
  <c r="J774" i="12"/>
  <c r="J787" i="12"/>
  <c r="J818" i="12"/>
  <c r="J842" i="12"/>
  <c r="J867" i="12"/>
  <c r="J882" i="12"/>
  <c r="J892" i="12"/>
  <c r="J902" i="12"/>
  <c r="J927" i="12"/>
  <c r="J942" i="12"/>
  <c r="J967" i="12"/>
  <c r="J1013" i="12"/>
  <c r="J1051" i="12"/>
  <c r="J1064" i="12"/>
  <c r="J1077" i="12"/>
  <c r="J1108" i="12"/>
  <c r="J1132" i="12"/>
  <c r="J1157" i="12"/>
  <c r="J1172" i="12"/>
  <c r="J1182" i="12"/>
  <c r="J1192" i="12"/>
  <c r="J1222" i="12"/>
  <c r="J1260" i="12"/>
  <c r="J155" i="12"/>
  <c r="J168" i="12"/>
  <c r="J181" i="12"/>
  <c r="J190" i="12"/>
  <c r="J205" i="12"/>
  <c r="J215" i="12"/>
  <c r="J240" i="12"/>
  <c r="J255" i="12"/>
  <c r="J270" i="12"/>
  <c r="J280" i="12"/>
  <c r="J295" i="12"/>
  <c r="J312" i="12"/>
  <c r="J329" i="12"/>
  <c r="J339" i="12"/>
  <c r="J349" i="12"/>
  <c r="J365" i="12"/>
  <c r="J381" i="12"/>
  <c r="J382" i="12"/>
  <c r="J394" i="12"/>
  <c r="J395" i="12"/>
  <c r="J407" i="12"/>
  <c r="J418" i="12"/>
  <c r="J431" i="12"/>
  <c r="J445" i="12"/>
  <c r="J455" i="12"/>
  <c r="J466" i="12"/>
  <c r="J479" i="12"/>
  <c r="J492" i="12"/>
  <c r="J505" i="12"/>
  <c r="J514" i="12"/>
  <c r="J523" i="12"/>
  <c r="J537" i="12"/>
  <c r="J547" i="12"/>
  <c r="J562" i="12"/>
  <c r="J572" i="12"/>
  <c r="J587" i="12"/>
  <c r="J622" i="12"/>
  <c r="J632" i="12"/>
  <c r="J647" i="12"/>
  <c r="J662" i="12"/>
  <c r="J672" i="12"/>
  <c r="J687" i="12"/>
  <c r="J697" i="12"/>
  <c r="J707" i="12"/>
  <c r="J718" i="12"/>
  <c r="J731" i="12"/>
  <c r="J741" i="12"/>
  <c r="J756" i="12"/>
  <c r="J769" i="12"/>
  <c r="J782" i="12"/>
  <c r="J795" i="12"/>
  <c r="J804" i="12"/>
  <c r="J813" i="12"/>
  <c r="J827" i="12"/>
  <c r="J837" i="12"/>
  <c r="J852" i="12"/>
  <c r="J862" i="12"/>
  <c r="J877" i="12"/>
  <c r="J912" i="12"/>
  <c r="J922" i="12"/>
  <c r="J937" i="12"/>
  <c r="J952" i="12"/>
  <c r="J962" i="12"/>
  <c r="J977" i="12"/>
  <c r="J987" i="12"/>
  <c r="J997" i="12"/>
  <c r="J1008" i="12"/>
  <c r="J1021" i="12"/>
  <c r="J1031" i="12"/>
  <c r="J1046" i="12"/>
  <c r="J1059" i="12"/>
  <c r="J1072" i="12"/>
  <c r="J1085" i="12"/>
  <c r="J1094" i="12"/>
  <c r="J1103" i="12"/>
  <c r="J1117" i="12"/>
  <c r="J1127" i="12"/>
  <c r="J1142" i="12"/>
  <c r="J1152" i="12"/>
  <c r="J1167" i="12"/>
  <c r="J1202" i="12"/>
  <c r="J1212" i="12"/>
  <c r="J1234" i="12"/>
  <c r="J1244" i="12"/>
  <c r="J1255" i="12"/>
  <c r="J1268" i="12"/>
  <c r="J1278" i="12"/>
  <c r="J1293" i="12"/>
  <c r="J1301" i="12"/>
  <c r="J135" i="12"/>
  <c r="J122" i="12"/>
  <c r="J123" i="12"/>
  <c r="J124" i="12"/>
  <c r="J125" i="12"/>
  <c r="J126" i="12"/>
  <c r="J127" i="12"/>
  <c r="J128" i="12"/>
  <c r="J129" i="12"/>
  <c r="J130" i="12"/>
  <c r="J52" i="12"/>
  <c r="J18" i="12"/>
  <c r="A1524" i="12"/>
  <c r="A1522" i="12"/>
  <c r="H1520" i="12"/>
  <c r="K1520" i="12" s="1"/>
  <c r="H1519" i="12"/>
  <c r="K1519" i="12" s="1"/>
  <c r="A1517" i="12"/>
  <c r="H1503" i="12"/>
  <c r="K1503" i="12" s="1"/>
  <c r="H1502" i="12"/>
  <c r="K1502" i="12" s="1"/>
  <c r="H1499" i="12"/>
  <c r="K1499" i="12" s="1"/>
  <c r="H1496" i="12"/>
  <c r="K1496" i="12" s="1"/>
  <c r="H1495" i="12"/>
  <c r="K1495" i="12" s="1"/>
  <c r="H1494" i="12"/>
  <c r="K1494" i="12" s="1"/>
  <c r="H1493" i="12"/>
  <c r="K1493" i="12" s="1"/>
  <c r="H1492" i="12"/>
  <c r="K1492" i="12" s="1"/>
  <c r="H1489" i="12"/>
  <c r="K1489" i="12" s="1"/>
  <c r="H1488" i="12"/>
  <c r="K1488" i="12" s="1"/>
  <c r="H1487" i="12"/>
  <c r="K1487" i="12" s="1"/>
  <c r="H1486" i="12"/>
  <c r="K1486" i="12" s="1"/>
  <c r="H1485" i="12"/>
  <c r="K1485" i="12" s="1"/>
  <c r="H1484" i="12"/>
  <c r="K1484" i="12" s="1"/>
  <c r="H1483" i="12"/>
  <c r="K1483" i="12" s="1"/>
  <c r="H1482" i="12"/>
  <c r="K1482" i="12" s="1"/>
  <c r="H1479" i="12"/>
  <c r="K1479" i="12" s="1"/>
  <c r="H1472" i="12"/>
  <c r="K1472" i="12" s="1"/>
  <c r="H1471" i="12"/>
  <c r="K1471" i="12" s="1"/>
  <c r="H1470" i="12"/>
  <c r="K1470" i="12" s="1"/>
  <c r="H1469" i="12"/>
  <c r="K1469" i="12" s="1"/>
  <c r="H1467" i="12"/>
  <c r="K1467" i="12" s="1"/>
  <c r="H1466" i="12"/>
  <c r="K1466" i="12" s="1"/>
  <c r="H1453" i="12"/>
  <c r="K1453" i="12" s="1"/>
  <c r="L1462" i="12" s="1"/>
  <c r="H1418" i="12"/>
  <c r="K1418" i="12" s="1"/>
  <c r="L1420" i="12" s="1"/>
  <c r="H1413" i="12"/>
  <c r="K1413" i="12" s="1"/>
  <c r="H1412" i="12"/>
  <c r="K1412" i="12" s="1"/>
  <c r="F1411" i="12"/>
  <c r="H1411" i="12" s="1"/>
  <c r="K1411" i="12" s="1"/>
  <c r="F1410" i="12"/>
  <c r="H1410" i="12" s="1"/>
  <c r="K1410" i="12" s="1"/>
  <c r="F1409" i="12"/>
  <c r="H1409" i="12" s="1"/>
  <c r="K1409" i="12" s="1"/>
  <c r="H1408" i="12"/>
  <c r="K1408" i="12" s="1"/>
  <c r="F1407" i="12"/>
  <c r="H1406" i="12"/>
  <c r="K1406" i="12" s="1"/>
  <c r="H1405" i="12"/>
  <c r="K1405" i="12" s="1"/>
  <c r="H1404" i="12"/>
  <c r="K1404" i="12" s="1"/>
  <c r="H1403" i="12"/>
  <c r="K1403" i="12" s="1"/>
  <c r="F1402" i="12"/>
  <c r="F1352" i="12"/>
  <c r="H1352" i="12" s="1"/>
  <c r="K1352" i="12" s="1"/>
  <c r="L1354" i="12" s="1"/>
  <c r="H1347" i="12"/>
  <c r="K1347" i="12" s="1"/>
  <c r="F1346" i="12"/>
  <c r="H1346" i="12" s="1"/>
  <c r="K1346" i="12" s="1"/>
  <c r="F1341" i="12"/>
  <c r="H1358" i="12"/>
  <c r="K1358" i="12" s="1"/>
  <c r="F1357" i="12"/>
  <c r="F1336" i="12"/>
  <c r="H1336" i="12" s="1"/>
  <c r="K1336" i="12" s="1"/>
  <c r="H1335" i="12"/>
  <c r="K1335" i="12" s="1"/>
  <c r="H1334" i="12"/>
  <c r="K1334" i="12" s="1"/>
  <c r="J2593" i="12" l="1"/>
  <c r="K2593" i="12" s="1"/>
  <c r="J2600" i="12"/>
  <c r="K2600" i="12" s="1"/>
  <c r="J2568" i="12"/>
  <c r="K2568" i="12" s="1"/>
  <c r="J2579" i="12"/>
  <c r="K2579" i="12" s="1"/>
  <c r="J2572" i="12"/>
  <c r="K2572" i="12" s="1"/>
  <c r="J2586" i="12"/>
  <c r="K2586" i="12" s="1"/>
  <c r="J2672" i="12"/>
  <c r="K2672" i="12" s="1"/>
  <c r="J2493" i="12"/>
  <c r="K2493" i="12" s="1"/>
  <c r="J2488" i="12"/>
  <c r="K2488" i="12" s="1"/>
  <c r="J2483" i="12"/>
  <c r="K2483" i="12" s="1"/>
  <c r="J2454" i="12"/>
  <c r="K2454" i="12" s="1"/>
  <c r="J2561" i="12"/>
  <c r="K2561" i="12" s="1"/>
  <c r="J2536" i="12"/>
  <c r="K2536" i="12" s="1"/>
  <c r="J2517" i="12"/>
  <c r="K2517" i="12" s="1"/>
  <c r="L2525" i="12" s="1"/>
  <c r="J2478" i="12"/>
  <c r="K2478" i="12" s="1"/>
  <c r="J2448" i="12"/>
  <c r="K2448" i="12" s="1"/>
  <c r="J2413" i="12"/>
  <c r="K2413" i="12" s="1"/>
  <c r="J2682" i="12"/>
  <c r="K2682" i="12" s="1"/>
  <c r="J2677" i="12"/>
  <c r="K2677" i="12" s="1"/>
  <c r="J2531" i="12"/>
  <c r="K2531" i="12" s="1"/>
  <c r="J2468" i="12"/>
  <c r="K2468" i="12" s="1"/>
  <c r="J2687" i="12"/>
  <c r="K2687" i="12" s="1"/>
  <c r="J2541" i="12"/>
  <c r="K2541" i="12" s="1"/>
  <c r="J2473" i="12"/>
  <c r="K2473" i="12" s="1"/>
  <c r="J2406" i="12"/>
  <c r="K2406" i="12" s="1"/>
  <c r="J2400" i="12"/>
  <c r="K2400" i="12" s="1"/>
  <c r="J2394" i="12"/>
  <c r="K2394" i="12" s="1"/>
  <c r="J2585" i="12"/>
  <c r="K2585" i="12" s="1"/>
  <c r="J2578" i="12"/>
  <c r="K2578" i="12" s="1"/>
  <c r="J2571" i="12"/>
  <c r="K2571" i="12" s="1"/>
  <c r="J2492" i="12"/>
  <c r="K2492" i="12" s="1"/>
  <c r="J2482" i="12"/>
  <c r="K2482" i="12" s="1"/>
  <c r="J2472" i="12"/>
  <c r="K2472" i="12" s="1"/>
  <c r="J2453" i="12"/>
  <c r="K2453" i="12" s="1"/>
  <c r="J2423" i="12"/>
  <c r="K2423" i="12" s="1"/>
  <c r="J2411" i="12"/>
  <c r="K2411" i="12" s="1"/>
  <c r="J2405" i="12"/>
  <c r="K2405" i="12" s="1"/>
  <c r="J2404" i="12"/>
  <c r="K2404" i="12" s="1"/>
  <c r="J2393" i="12"/>
  <c r="K2393" i="12" s="1"/>
  <c r="J2392" i="12"/>
  <c r="K2392" i="12" s="1"/>
  <c r="J2487" i="12"/>
  <c r="K2487" i="12" s="1"/>
  <c r="J2599" i="12"/>
  <c r="K2599" i="12" s="1"/>
  <c r="J2477" i="12"/>
  <c r="K2477" i="12" s="1"/>
  <c r="J2412" i="12"/>
  <c r="K2412" i="12" s="1"/>
  <c r="J2467" i="12"/>
  <c r="K2467" i="12" s="1"/>
  <c r="J2399" i="12"/>
  <c r="K2399" i="12" s="1"/>
  <c r="J2447" i="12"/>
  <c r="K2447" i="12" s="1"/>
  <c r="J2398" i="12"/>
  <c r="K2398" i="12" s="1"/>
  <c r="J2220" i="12"/>
  <c r="K2220" i="12" s="1"/>
  <c r="J2592" i="12"/>
  <c r="K2592" i="12" s="1"/>
  <c r="J2587" i="12"/>
  <c r="K2587" i="12" s="1"/>
  <c r="J2580" i="12"/>
  <c r="K2580" i="12" s="1"/>
  <c r="J2601" i="12"/>
  <c r="K2601" i="12" s="1"/>
  <c r="J2594" i="12"/>
  <c r="K2594" i="12" s="1"/>
  <c r="J2557" i="12"/>
  <c r="K2557" i="12" s="1"/>
  <c r="J2360" i="12"/>
  <c r="K2360" i="12" s="1"/>
  <c r="L2386" i="12" s="1"/>
  <c r="J2379" i="12"/>
  <c r="K2379" i="12" s="1"/>
  <c r="J1862" i="12"/>
  <c r="K1862" i="12" s="1"/>
  <c r="J1856" i="12"/>
  <c r="K1856" i="12" s="1"/>
  <c r="J1785" i="12"/>
  <c r="K1785" i="12" s="1"/>
  <c r="J1775" i="12"/>
  <c r="K1775" i="12" s="1"/>
  <c r="J1728" i="12"/>
  <c r="K1728" i="12" s="1"/>
  <c r="J1743" i="12"/>
  <c r="K1743" i="12" s="1"/>
  <c r="J1765" i="12"/>
  <c r="K1765" i="12" s="1"/>
  <c r="J1754" i="12"/>
  <c r="K1754" i="12" s="1"/>
  <c r="L1505" i="12"/>
  <c r="K1525" i="12"/>
  <c r="L1524" i="12"/>
  <c r="L1525" i="12" s="1"/>
  <c r="L1338" i="12"/>
  <c r="H1407" i="12"/>
  <c r="K1407" i="12" s="1"/>
  <c r="H1402" i="12"/>
  <c r="K1402" i="12" s="1"/>
  <c r="L1349" i="12"/>
  <c r="H1357" i="12"/>
  <c r="K1357" i="12" s="1"/>
  <c r="L1360" i="12" s="1"/>
  <c r="H1341" i="12"/>
  <c r="K1341" i="12" s="1"/>
  <c r="L1343" i="12" s="1"/>
  <c r="L2462" i="12" l="1"/>
  <c r="L2563" i="12"/>
  <c r="L2552" i="12"/>
  <c r="L2442" i="12"/>
  <c r="L2728" i="12"/>
  <c r="L2511" i="12"/>
  <c r="L2736" i="12" s="1"/>
  <c r="L2227" i="12"/>
  <c r="K2736" i="12"/>
  <c r="K2737" i="12" s="1"/>
  <c r="L1415" i="12"/>
  <c r="L1526" i="12"/>
  <c r="F18" i="12" l="1"/>
  <c r="F16" i="12"/>
  <c r="A36" i="16"/>
  <c r="A35" i="16"/>
  <c r="A34" i="16"/>
  <c r="A33" i="16"/>
  <c r="H32" i="16"/>
  <c r="I32" i="16" s="1"/>
  <c r="A31" i="16"/>
  <c r="H30" i="16"/>
  <c r="G30" i="16"/>
  <c r="H29" i="16"/>
  <c r="G29" i="16"/>
  <c r="H28" i="16"/>
  <c r="G28" i="16"/>
  <c r="H27" i="16"/>
  <c r="G27" i="16"/>
  <c r="H26" i="16"/>
  <c r="G26" i="16"/>
  <c r="H25" i="16"/>
  <c r="G25" i="16"/>
  <c r="H24" i="16"/>
  <c r="G24" i="16"/>
  <c r="H23" i="16"/>
  <c r="G23" i="16"/>
  <c r="H22" i="16"/>
  <c r="G22" i="16"/>
  <c r="H21" i="16"/>
  <c r="G21" i="16"/>
  <c r="H20" i="16"/>
  <c r="G20" i="16"/>
  <c r="H19" i="16"/>
  <c r="G19" i="16"/>
  <c r="H18" i="16"/>
  <c r="G18" i="16"/>
  <c r="H17" i="16"/>
  <c r="G17" i="16"/>
  <c r="H16" i="16"/>
  <c r="G16" i="16"/>
  <c r="H15" i="16"/>
  <c r="G15" i="16"/>
  <c r="H14" i="16"/>
  <c r="G14" i="16"/>
  <c r="H13" i="16"/>
  <c r="G13" i="16"/>
  <c r="H12" i="16"/>
  <c r="G12" i="16"/>
  <c r="H11" i="16"/>
  <c r="G11" i="16"/>
  <c r="H10" i="16"/>
  <c r="G10" i="16"/>
  <c r="A9" i="16"/>
  <c r="A8" i="16"/>
  <c r="A7" i="16"/>
  <c r="I21" i="16" l="1"/>
  <c r="I13" i="16"/>
  <c r="I17" i="16"/>
  <c r="I29" i="16"/>
  <c r="I14" i="16"/>
  <c r="I18" i="16"/>
  <c r="I22" i="16"/>
  <c r="I26" i="16"/>
  <c r="I30" i="16"/>
  <c r="G36" i="16"/>
  <c r="I12" i="16"/>
  <c r="I16" i="16"/>
  <c r="I20" i="16"/>
  <c r="I24" i="16"/>
  <c r="I25" i="16"/>
  <c r="I28" i="16"/>
  <c r="H16" i="12"/>
  <c r="K16" i="12" s="1"/>
  <c r="I10" i="16"/>
  <c r="H36" i="16"/>
  <c r="I37" i="16" s="1"/>
  <c r="I11" i="16"/>
  <c r="I15" i="16"/>
  <c r="I19" i="16"/>
  <c r="I23" i="16"/>
  <c r="I27" i="16"/>
  <c r="A10" i="16"/>
  <c r="A11" i="16" s="1"/>
  <c r="I38" i="16" l="1"/>
  <c r="B5" i="16" s="1"/>
  <c r="A12" i="16"/>
  <c r="A13" i="16" l="1"/>
  <c r="A14" i="16" l="1"/>
  <c r="A15" i="16" l="1"/>
  <c r="A16" i="16" l="1"/>
  <c r="A17" i="16" s="1"/>
  <c r="A18" i="16" s="1"/>
  <c r="A19" i="16" l="1"/>
  <c r="A20" i="16" s="1"/>
  <c r="A21" i="16" s="1"/>
  <c r="A22" i="16" s="1"/>
  <c r="A23" i="16" s="1"/>
  <c r="A24" i="16" s="1"/>
  <c r="A25" i="16" s="1"/>
  <c r="A26" i="16" s="1"/>
  <c r="A27" i="16" s="1"/>
  <c r="A29" i="16" s="1"/>
  <c r="A28" i="16" l="1"/>
  <c r="A30" i="16" s="1"/>
  <c r="A32" i="16" s="1"/>
  <c r="F104" i="12" l="1"/>
  <c r="F114" i="12"/>
  <c r="H111" i="12"/>
  <c r="K111" i="12" s="1"/>
  <c r="H101" i="12"/>
  <c r="K101" i="12" s="1"/>
  <c r="H110" i="12"/>
  <c r="K110" i="12" s="1"/>
  <c r="H115" i="12"/>
  <c r="K115" i="12" s="1"/>
  <c r="H113" i="12"/>
  <c r="K113" i="12" s="1"/>
  <c r="H114" i="12"/>
  <c r="K114" i="12" s="1"/>
  <c r="H108" i="12"/>
  <c r="K108" i="12" s="1"/>
  <c r="H107" i="12"/>
  <c r="K107" i="12" s="1"/>
  <c r="H112" i="12"/>
  <c r="K112" i="12" s="1"/>
  <c r="H105" i="12"/>
  <c r="K105" i="12" s="1"/>
  <c r="H103" i="12"/>
  <c r="K103" i="12" s="1"/>
  <c r="H100" i="12"/>
  <c r="K100" i="12" s="1"/>
  <c r="H99" i="12"/>
  <c r="K99" i="12" s="1"/>
  <c r="H135" i="12"/>
  <c r="K135" i="12" s="1"/>
  <c r="L137" i="12" s="1"/>
  <c r="F130" i="12"/>
  <c r="F129" i="12"/>
  <c r="H129" i="12" s="1"/>
  <c r="K129" i="12" s="1"/>
  <c r="F128" i="12"/>
  <c r="F127" i="12"/>
  <c r="F126" i="12"/>
  <c r="F125" i="12"/>
  <c r="F124" i="12"/>
  <c r="F123" i="12"/>
  <c r="F122" i="12"/>
  <c r="F121" i="12"/>
  <c r="H104" i="12" l="1"/>
  <c r="K104" i="12" s="1"/>
  <c r="H77" i="12"/>
  <c r="K77" i="12" s="1"/>
  <c r="H76" i="12"/>
  <c r="K76" i="12" s="1"/>
  <c r="H78" i="12"/>
  <c r="K78" i="12" s="1"/>
  <c r="H73" i="12"/>
  <c r="K73" i="12" s="1"/>
  <c r="H80" i="12"/>
  <c r="K80" i="12" s="1"/>
  <c r="F79" i="12"/>
  <c r="H75" i="12"/>
  <c r="K75" i="12" s="1"/>
  <c r="F60" i="12"/>
  <c r="F58" i="12"/>
  <c r="F1376" i="12"/>
  <c r="F1375" i="12"/>
  <c r="F1374" i="12"/>
  <c r="F9" i="12"/>
  <c r="H1377" i="12"/>
  <c r="K1377" i="12" s="1"/>
  <c r="F1320" i="12"/>
  <c r="F1321" i="12"/>
  <c r="F1323" i="12"/>
  <c r="F1393" i="12"/>
  <c r="F1317" i="12"/>
  <c r="F1329" i="12"/>
  <c r="F1319" i="12"/>
  <c r="F1318" i="12"/>
  <c r="F1322" i="12"/>
  <c r="H1322" i="12" s="1"/>
  <c r="K1322" i="12" s="1"/>
  <c r="H1392" i="12"/>
  <c r="K1392" i="12" s="1"/>
  <c r="H1321" i="12" l="1"/>
  <c r="K1321" i="12" s="1"/>
  <c r="F1041" i="12"/>
  <c r="F1288" i="12"/>
  <c r="F1311" i="12"/>
  <c r="F1298" i="12"/>
  <c r="F1293" i="12"/>
  <c r="H1293" i="12" s="1"/>
  <c r="H1294" i="12" s="1"/>
  <c r="H1295" i="12" s="1"/>
  <c r="F1312" i="12"/>
  <c r="F1308" i="12"/>
  <c r="F1306" i="12"/>
  <c r="F1307" i="12"/>
  <c r="F1301" i="12"/>
  <c r="F1289" i="12"/>
  <c r="F1285" i="12"/>
  <c r="H1285" i="12" s="1"/>
  <c r="K1285" i="12" s="1"/>
  <c r="F1284" i="12"/>
  <c r="H1284" i="12" s="1"/>
  <c r="K1284" i="12" s="1"/>
  <c r="F1283" i="12"/>
  <c r="H1283" i="12" s="1"/>
  <c r="K1283" i="12" s="1"/>
  <c r="F1278" i="12"/>
  <c r="H1278" i="12" s="1"/>
  <c r="F1275" i="12"/>
  <c r="F1274" i="12"/>
  <c r="F1273" i="12"/>
  <c r="F1268" i="12"/>
  <c r="F1265" i="12"/>
  <c r="F1260" i="12"/>
  <c r="F1255" i="12"/>
  <c r="F1241" i="12"/>
  <c r="F1240" i="12"/>
  <c r="F1239" i="12"/>
  <c r="F1234" i="12"/>
  <c r="H1229" i="12"/>
  <c r="F1231" i="12"/>
  <c r="H1231" i="12" s="1"/>
  <c r="K1231" i="12" s="1"/>
  <c r="F1230" i="12"/>
  <c r="H1230" i="12" s="1"/>
  <c r="K1230" i="12" s="1"/>
  <c r="F1228" i="12"/>
  <c r="H1228" i="12" s="1"/>
  <c r="K1228" i="12" s="1"/>
  <c r="F1227" i="12"/>
  <c r="H1227" i="12" s="1"/>
  <c r="K1227" i="12" s="1"/>
  <c r="F1222" i="12"/>
  <c r="H1222" i="12" s="1"/>
  <c r="H1225" i="12" s="1"/>
  <c r="F1219" i="12"/>
  <c r="F1218" i="12"/>
  <c r="F1217" i="12"/>
  <c r="F1212" i="12"/>
  <c r="F1199" i="12"/>
  <c r="F1198" i="12"/>
  <c r="F1197" i="12"/>
  <c r="F1192" i="12"/>
  <c r="F1189" i="12"/>
  <c r="F1188" i="12"/>
  <c r="F1187" i="12"/>
  <c r="F1182" i="12"/>
  <c r="F1177" i="12"/>
  <c r="H1177" i="12" s="1"/>
  <c r="K1177" i="12" s="1"/>
  <c r="F1179" i="12"/>
  <c r="H1179" i="12" s="1"/>
  <c r="K1179" i="12" s="1"/>
  <c r="F1178" i="12"/>
  <c r="H1178" i="12" s="1"/>
  <c r="K1178" i="12" s="1"/>
  <c r="F1172" i="12"/>
  <c r="H1172" i="12" s="1"/>
  <c r="H1175" i="12" s="1"/>
  <c r="F1167" i="12"/>
  <c r="H1167" i="12" s="1"/>
  <c r="H1171" i="12" s="1"/>
  <c r="F1164" i="12"/>
  <c r="F1163" i="12"/>
  <c r="F1162" i="12"/>
  <c r="F1157" i="12"/>
  <c r="F1152" i="12"/>
  <c r="F1149" i="12"/>
  <c r="F1148" i="12"/>
  <c r="F1147" i="12"/>
  <c r="F1142" i="12"/>
  <c r="F1139" i="12"/>
  <c r="H1139" i="12" s="1"/>
  <c r="K1139" i="12" s="1"/>
  <c r="F1138" i="12"/>
  <c r="H1138" i="12" s="1"/>
  <c r="K1138" i="12" s="1"/>
  <c r="F1137" i="12"/>
  <c r="H1137" i="12" s="1"/>
  <c r="K1137" i="12" s="1"/>
  <c r="F1132" i="12"/>
  <c r="H1132" i="12" s="1"/>
  <c r="H1135" i="12" s="1"/>
  <c r="F1127" i="12"/>
  <c r="H1127" i="12" s="1"/>
  <c r="H1131" i="12" s="1"/>
  <c r="F1069" i="12"/>
  <c r="F1064" i="12"/>
  <c r="F1059" i="12"/>
  <c r="F1056" i="12"/>
  <c r="F1051" i="12"/>
  <c r="F1046" i="12"/>
  <c r="F1042" i="12"/>
  <c r="F1038" i="12"/>
  <c r="H1038" i="12" s="1"/>
  <c r="K1038" i="12" s="1"/>
  <c r="F1037" i="12"/>
  <c r="H1037" i="12" s="1"/>
  <c r="K1037" i="12" s="1"/>
  <c r="F1036" i="12"/>
  <c r="H1036" i="12" s="1"/>
  <c r="K1036" i="12" s="1"/>
  <c r="F1031" i="12"/>
  <c r="H1031" i="12" s="1"/>
  <c r="H1034" i="12" s="1"/>
  <c r="F1028" i="12"/>
  <c r="F1027" i="12"/>
  <c r="F1026" i="12"/>
  <c r="F1021" i="12"/>
  <c r="F1018" i="12"/>
  <c r="H1018" i="12" s="1"/>
  <c r="K1018" i="12" s="1"/>
  <c r="F1013" i="12"/>
  <c r="H1013" i="12" s="1"/>
  <c r="F1008" i="12"/>
  <c r="F1005" i="12"/>
  <c r="H1005" i="12" s="1"/>
  <c r="K1005" i="12" s="1"/>
  <c r="H1004" i="12"/>
  <c r="F1003" i="12"/>
  <c r="F1002" i="12"/>
  <c r="F997" i="12"/>
  <c r="F994" i="12"/>
  <c r="H994" i="12" s="1"/>
  <c r="K994" i="12" s="1"/>
  <c r="F993" i="12"/>
  <c r="H993" i="12" s="1"/>
  <c r="K993" i="12" s="1"/>
  <c r="F992" i="12"/>
  <c r="H992" i="12" s="1"/>
  <c r="K992" i="12" s="1"/>
  <c r="F987" i="12"/>
  <c r="H987" i="12" s="1"/>
  <c r="F984" i="12"/>
  <c r="F983" i="12"/>
  <c r="F982" i="12"/>
  <c r="F977" i="12"/>
  <c r="F974" i="12"/>
  <c r="H974" i="12" s="1"/>
  <c r="K974" i="12" s="1"/>
  <c r="F973" i="12"/>
  <c r="H973" i="12" s="1"/>
  <c r="K973" i="12" s="1"/>
  <c r="F972" i="12"/>
  <c r="H972" i="12" s="1"/>
  <c r="K972" i="12" s="1"/>
  <c r="F967" i="12"/>
  <c r="H967" i="12" s="1"/>
  <c r="H970" i="12" s="1"/>
  <c r="F962" i="12"/>
  <c r="H962" i="12" s="1"/>
  <c r="H965" i="12" s="1"/>
  <c r="F959" i="12"/>
  <c r="F958" i="12"/>
  <c r="F957" i="12"/>
  <c r="F952" i="12"/>
  <c r="F949" i="12"/>
  <c r="H949" i="12" s="1"/>
  <c r="K949" i="12" s="1"/>
  <c r="F948" i="12"/>
  <c r="H948" i="12" s="1"/>
  <c r="K948" i="12" s="1"/>
  <c r="F947" i="12"/>
  <c r="H947" i="12" s="1"/>
  <c r="K947" i="12" s="1"/>
  <c r="F942" i="12"/>
  <c r="H942" i="12" s="1"/>
  <c r="H945" i="12" s="1"/>
  <c r="F937" i="12"/>
  <c r="H937" i="12" s="1"/>
  <c r="F934" i="12"/>
  <c r="H934" i="12" s="1"/>
  <c r="K934" i="12" s="1"/>
  <c r="F933" i="12"/>
  <c r="H933" i="12" s="1"/>
  <c r="K933" i="12" s="1"/>
  <c r="F932" i="12"/>
  <c r="H932" i="12" s="1"/>
  <c r="K932" i="12" s="1"/>
  <c r="F927" i="12"/>
  <c r="H927" i="12" s="1"/>
  <c r="F922" i="12"/>
  <c r="H922" i="12" s="1"/>
  <c r="H925" i="12" s="1"/>
  <c r="F919" i="12"/>
  <c r="F918" i="12"/>
  <c r="F917" i="12"/>
  <c r="F912" i="12"/>
  <c r="F909" i="12"/>
  <c r="H909" i="12" s="1"/>
  <c r="K909" i="12" s="1"/>
  <c r="F908" i="12"/>
  <c r="H908" i="12" s="1"/>
  <c r="K908" i="12" s="1"/>
  <c r="F907" i="12"/>
  <c r="H907" i="12" s="1"/>
  <c r="K907" i="12" s="1"/>
  <c r="F902" i="12"/>
  <c r="H902" i="12" s="1"/>
  <c r="F899" i="12"/>
  <c r="H899" i="12" s="1"/>
  <c r="K899" i="12" s="1"/>
  <c r="F898" i="12"/>
  <c r="H898" i="12" s="1"/>
  <c r="K898" i="12" s="1"/>
  <c r="F897" i="12"/>
  <c r="H897" i="12" s="1"/>
  <c r="K897" i="12" s="1"/>
  <c r="F892" i="12"/>
  <c r="F889" i="12"/>
  <c r="H889" i="12" s="1"/>
  <c r="K889" i="12" s="1"/>
  <c r="F888" i="12"/>
  <c r="H888" i="12" s="1"/>
  <c r="K888" i="12" s="1"/>
  <c r="F887" i="12"/>
  <c r="H887" i="12" s="1"/>
  <c r="K887" i="12" s="1"/>
  <c r="F882" i="12"/>
  <c r="H882" i="12" s="1"/>
  <c r="F877" i="12"/>
  <c r="H877" i="12" s="1"/>
  <c r="K877" i="12" s="1"/>
  <c r="F874" i="12"/>
  <c r="H874" i="12" s="1"/>
  <c r="K874" i="12" s="1"/>
  <c r="F873" i="12"/>
  <c r="H873" i="12" s="1"/>
  <c r="K873" i="12" s="1"/>
  <c r="F872" i="12"/>
  <c r="F867" i="12"/>
  <c r="H867" i="12" s="1"/>
  <c r="H868" i="12" s="1"/>
  <c r="H869" i="12" s="1"/>
  <c r="F862" i="12"/>
  <c r="H862" i="12" s="1"/>
  <c r="F859" i="12"/>
  <c r="H859" i="12" s="1"/>
  <c r="K859" i="12" s="1"/>
  <c r="F858" i="12"/>
  <c r="F857" i="12"/>
  <c r="H857" i="12" s="1"/>
  <c r="K857" i="12" s="1"/>
  <c r="F852" i="12"/>
  <c r="F849" i="12"/>
  <c r="H849" i="12" s="1"/>
  <c r="K849" i="12" s="1"/>
  <c r="F848" i="12"/>
  <c r="H848" i="12" s="1"/>
  <c r="K848" i="12" s="1"/>
  <c r="F847" i="12"/>
  <c r="H847" i="12" s="1"/>
  <c r="K847" i="12" s="1"/>
  <c r="F842" i="12"/>
  <c r="H842" i="12" s="1"/>
  <c r="H846" i="12" s="1"/>
  <c r="F837" i="12"/>
  <c r="F834" i="12"/>
  <c r="H834" i="12" s="1"/>
  <c r="K834" i="12" s="1"/>
  <c r="F833" i="12"/>
  <c r="H833" i="12" s="1"/>
  <c r="K833" i="12" s="1"/>
  <c r="F832" i="12"/>
  <c r="H832" i="12" s="1"/>
  <c r="K832" i="12" s="1"/>
  <c r="F827" i="12"/>
  <c r="H827" i="12" s="1"/>
  <c r="H831" i="12" s="1"/>
  <c r="F824" i="12"/>
  <c r="H824" i="12" s="1"/>
  <c r="K824" i="12" s="1"/>
  <c r="F823" i="12"/>
  <c r="H823" i="12" s="1"/>
  <c r="K823" i="12" s="1"/>
  <c r="F818" i="12"/>
  <c r="H818" i="12" s="1"/>
  <c r="H821" i="12" s="1"/>
  <c r="F813" i="12"/>
  <c r="H813" i="12" s="1"/>
  <c r="H816" i="12" s="1"/>
  <c r="F810" i="12"/>
  <c r="H810" i="12" s="1"/>
  <c r="K810" i="12" s="1"/>
  <c r="F809" i="12"/>
  <c r="H809" i="12" s="1"/>
  <c r="K809" i="12" s="1"/>
  <c r="F804" i="12"/>
  <c r="H804" i="12" s="1"/>
  <c r="F801" i="12"/>
  <c r="H801" i="12" s="1"/>
  <c r="K801" i="12" s="1"/>
  <c r="F800" i="12"/>
  <c r="H800" i="12" s="1"/>
  <c r="K800" i="12" s="1"/>
  <c r="F795" i="12"/>
  <c r="H795" i="12" s="1"/>
  <c r="H798" i="12" s="1"/>
  <c r="F792" i="12"/>
  <c r="H792" i="12" s="1"/>
  <c r="K792" i="12" s="1"/>
  <c r="F787" i="12"/>
  <c r="H787" i="12" s="1"/>
  <c r="F782" i="12"/>
  <c r="H782" i="12" s="1"/>
  <c r="F779" i="12"/>
  <c r="H779" i="12" s="1"/>
  <c r="K779" i="12" s="1"/>
  <c r="F774" i="12"/>
  <c r="H774" i="12" s="1"/>
  <c r="H777" i="12" s="1"/>
  <c r="F769" i="12"/>
  <c r="H769" i="12" s="1"/>
  <c r="F766" i="12"/>
  <c r="F761" i="12"/>
  <c r="F756" i="12"/>
  <c r="H756" i="12" s="1"/>
  <c r="H757" i="12" s="1"/>
  <c r="H758" i="12" s="1"/>
  <c r="F1209" i="12"/>
  <c r="F1208" i="12"/>
  <c r="F1207" i="12"/>
  <c r="F1202" i="12"/>
  <c r="F1091" i="12"/>
  <c r="F1090" i="12"/>
  <c r="F1085" i="12"/>
  <c r="F752" i="12"/>
  <c r="F751" i="12"/>
  <c r="F748" i="12"/>
  <c r="H748" i="12" s="1"/>
  <c r="K748" i="12" s="1"/>
  <c r="F747" i="12"/>
  <c r="H747" i="12" s="1"/>
  <c r="K747" i="12" s="1"/>
  <c r="F746" i="12"/>
  <c r="H746" i="12" s="1"/>
  <c r="K746" i="12" s="1"/>
  <c r="F741" i="12"/>
  <c r="H741" i="12" s="1"/>
  <c r="F738" i="12"/>
  <c r="F737" i="12"/>
  <c r="F736" i="12"/>
  <c r="F731" i="12"/>
  <c r="F728" i="12"/>
  <c r="H728" i="12" s="1"/>
  <c r="K728" i="12" s="1"/>
  <c r="F723" i="12"/>
  <c r="H723" i="12" s="1"/>
  <c r="H726" i="12" s="1"/>
  <c r="F718" i="12"/>
  <c r="H718" i="12" s="1"/>
  <c r="H722" i="12" s="1"/>
  <c r="F715" i="12"/>
  <c r="H715" i="12" s="1"/>
  <c r="K715" i="12" s="1"/>
  <c r="H714" i="12"/>
  <c r="F713" i="12"/>
  <c r="F712" i="12"/>
  <c r="H712" i="12" s="1"/>
  <c r="K712" i="12" s="1"/>
  <c r="F707" i="12"/>
  <c r="H707" i="12" s="1"/>
  <c r="H710" i="12" s="1"/>
  <c r="F704" i="12"/>
  <c r="H704" i="12" s="1"/>
  <c r="K704" i="12" s="1"/>
  <c r="F703" i="12"/>
  <c r="H703" i="12" s="1"/>
  <c r="K703" i="12" s="1"/>
  <c r="F702" i="12"/>
  <c r="H702" i="12" s="1"/>
  <c r="K702" i="12" s="1"/>
  <c r="F697" i="12"/>
  <c r="H697" i="12" s="1"/>
  <c r="H700" i="12" s="1"/>
  <c r="F694" i="12"/>
  <c r="H694" i="12" s="1"/>
  <c r="K694" i="12" s="1"/>
  <c r="F693" i="12"/>
  <c r="F692" i="12"/>
  <c r="H692" i="12" s="1"/>
  <c r="K692" i="12" s="1"/>
  <c r="F687" i="12"/>
  <c r="H687" i="12" s="1"/>
  <c r="H690" i="12" s="1"/>
  <c r="F684" i="12"/>
  <c r="H684" i="12" s="1"/>
  <c r="K684" i="12" s="1"/>
  <c r="F683" i="12"/>
  <c r="H683" i="12" s="1"/>
  <c r="K683" i="12" s="1"/>
  <c r="F682" i="12"/>
  <c r="H682" i="12" s="1"/>
  <c r="K682" i="12" s="1"/>
  <c r="F677" i="12"/>
  <c r="H677" i="12" s="1"/>
  <c r="H680" i="12" s="1"/>
  <c r="F672" i="12"/>
  <c r="H672" i="12" s="1"/>
  <c r="H675" i="12" s="1"/>
  <c r="F669" i="12"/>
  <c r="F668" i="12"/>
  <c r="H668" i="12" s="1"/>
  <c r="K668" i="12" s="1"/>
  <c r="F667" i="12"/>
  <c r="F662" i="12"/>
  <c r="F659" i="12"/>
  <c r="H659" i="12" s="1"/>
  <c r="K659" i="12" s="1"/>
  <c r="F658" i="12"/>
  <c r="H658" i="12" s="1"/>
  <c r="K658" i="12" s="1"/>
  <c r="F657" i="12"/>
  <c r="H657" i="12" s="1"/>
  <c r="K657" i="12" s="1"/>
  <c r="F652" i="12"/>
  <c r="H652" i="12" s="1"/>
  <c r="F647" i="12"/>
  <c r="H647" i="12" s="1"/>
  <c r="H648" i="12" s="1"/>
  <c r="H649" i="12" s="1"/>
  <c r="F644" i="12"/>
  <c r="H644" i="12" s="1"/>
  <c r="K644" i="12" s="1"/>
  <c r="F643" i="12"/>
  <c r="H643" i="12" s="1"/>
  <c r="K643" i="12" s="1"/>
  <c r="F642" i="12"/>
  <c r="H642" i="12" s="1"/>
  <c r="K642" i="12" s="1"/>
  <c r="F637" i="12"/>
  <c r="H637" i="12" s="1"/>
  <c r="H641" i="12" s="1"/>
  <c r="F632" i="12"/>
  <c r="H632" i="12" s="1"/>
  <c r="F629" i="12"/>
  <c r="F628" i="12"/>
  <c r="H628" i="12" s="1"/>
  <c r="K628" i="12" s="1"/>
  <c r="F627" i="12"/>
  <c r="F622" i="12"/>
  <c r="H622" i="12" s="1"/>
  <c r="F619" i="12"/>
  <c r="H619" i="12" s="1"/>
  <c r="K619" i="12" s="1"/>
  <c r="F618" i="12"/>
  <c r="F617" i="12"/>
  <c r="H617" i="12" s="1"/>
  <c r="K617" i="12" s="1"/>
  <c r="F612" i="12"/>
  <c r="F609" i="12"/>
  <c r="H609" i="12" s="1"/>
  <c r="K609" i="12" s="1"/>
  <c r="F608" i="12"/>
  <c r="H608" i="12" s="1"/>
  <c r="K608" i="12" s="1"/>
  <c r="F607" i="12"/>
  <c r="H607" i="12" s="1"/>
  <c r="K607" i="12" s="1"/>
  <c r="F602" i="12"/>
  <c r="H602" i="12" s="1"/>
  <c r="H606" i="12" s="1"/>
  <c r="F599" i="12"/>
  <c r="H599" i="12" s="1"/>
  <c r="K599" i="12" s="1"/>
  <c r="F598" i="12"/>
  <c r="F597" i="12"/>
  <c r="H597" i="12" s="1"/>
  <c r="K597" i="12" s="1"/>
  <c r="F592" i="12"/>
  <c r="F587" i="12"/>
  <c r="H587" i="12" s="1"/>
  <c r="F584" i="12"/>
  <c r="H584" i="12" s="1"/>
  <c r="K584" i="12" s="1"/>
  <c r="F583" i="12"/>
  <c r="H583" i="12" s="1"/>
  <c r="K583" i="12" s="1"/>
  <c r="F582" i="12"/>
  <c r="H582" i="12" s="1"/>
  <c r="K582" i="12" s="1"/>
  <c r="F577" i="12"/>
  <c r="H577" i="12" s="1"/>
  <c r="F572" i="12"/>
  <c r="H572" i="12" s="1"/>
  <c r="F569" i="12"/>
  <c r="H569" i="12" s="1"/>
  <c r="K569" i="12" s="1"/>
  <c r="F568" i="12"/>
  <c r="H568" i="12" s="1"/>
  <c r="K568" i="12" s="1"/>
  <c r="F567" i="12"/>
  <c r="H567" i="12" s="1"/>
  <c r="K567" i="12" s="1"/>
  <c r="F562" i="12"/>
  <c r="H562" i="12" s="1"/>
  <c r="F559" i="12"/>
  <c r="H559" i="12" s="1"/>
  <c r="K559" i="12" s="1"/>
  <c r="F558" i="12"/>
  <c r="H558" i="12" s="1"/>
  <c r="K558" i="12" s="1"/>
  <c r="F557" i="12"/>
  <c r="F552" i="12"/>
  <c r="H552" i="12" s="1"/>
  <c r="F547" i="12"/>
  <c r="H547" i="12" s="1"/>
  <c r="H550" i="12" s="1"/>
  <c r="F544" i="12"/>
  <c r="H544" i="12" s="1"/>
  <c r="K544" i="12" s="1"/>
  <c r="F543" i="12"/>
  <c r="F542" i="12"/>
  <c r="H542" i="12" s="1"/>
  <c r="K542" i="12" s="1"/>
  <c r="F537" i="12"/>
  <c r="F534" i="12"/>
  <c r="H534" i="12" s="1"/>
  <c r="K534" i="12" s="1"/>
  <c r="F533" i="12"/>
  <c r="H533" i="12" s="1"/>
  <c r="K533" i="12" s="1"/>
  <c r="F528" i="12"/>
  <c r="H528" i="12" s="1"/>
  <c r="H532" i="12" s="1"/>
  <c r="F523" i="12"/>
  <c r="H523" i="12" s="1"/>
  <c r="H527" i="12" s="1"/>
  <c r="F520" i="12"/>
  <c r="H520" i="12" s="1"/>
  <c r="K520" i="12" s="1"/>
  <c r="F519" i="12"/>
  <c r="H519" i="12" s="1"/>
  <c r="K519" i="12" s="1"/>
  <c r="F514" i="12"/>
  <c r="H514" i="12" s="1"/>
  <c r="H515" i="12" s="1"/>
  <c r="H516" i="12" s="1"/>
  <c r="F511" i="12"/>
  <c r="H511" i="12" s="1"/>
  <c r="K511" i="12" s="1"/>
  <c r="F510" i="12"/>
  <c r="H510" i="12" s="1"/>
  <c r="K510" i="12" s="1"/>
  <c r="F505" i="12"/>
  <c r="H505" i="12" s="1"/>
  <c r="H509" i="12" s="1"/>
  <c r="F502" i="12"/>
  <c r="F497" i="12"/>
  <c r="H497" i="12" s="1"/>
  <c r="F492" i="12"/>
  <c r="F489" i="12"/>
  <c r="H489" i="12" s="1"/>
  <c r="K489" i="12" s="1"/>
  <c r="F484" i="12"/>
  <c r="H484" i="12" s="1"/>
  <c r="H487" i="12" s="1"/>
  <c r="F479" i="12"/>
  <c r="H479" i="12" s="1"/>
  <c r="H483" i="12" s="1"/>
  <c r="F476" i="12"/>
  <c r="H476" i="12" s="1"/>
  <c r="K476" i="12" s="1"/>
  <c r="F471" i="12"/>
  <c r="H471" i="12" s="1"/>
  <c r="F466" i="12"/>
  <c r="H466" i="12" s="1"/>
  <c r="H469" i="12" s="1"/>
  <c r="F1252" i="12"/>
  <c r="H1251" i="12"/>
  <c r="F1250" i="12"/>
  <c r="F1249" i="12"/>
  <c r="F1244" i="12"/>
  <c r="F1124" i="12"/>
  <c r="F1123" i="12"/>
  <c r="F1122" i="12"/>
  <c r="F1117" i="12"/>
  <c r="F1114" i="12"/>
  <c r="F1113" i="12"/>
  <c r="F1108" i="12"/>
  <c r="F1103" i="12"/>
  <c r="F1100" i="12"/>
  <c r="F1099" i="12"/>
  <c r="F1094" i="12"/>
  <c r="F1082" i="12"/>
  <c r="F1077" i="12"/>
  <c r="F1072" i="12"/>
  <c r="F462" i="12"/>
  <c r="F461" i="12"/>
  <c r="H461" i="12" s="1"/>
  <c r="K461" i="12" s="1"/>
  <c r="F460" i="12"/>
  <c r="F455" i="12"/>
  <c r="F452" i="12"/>
  <c r="H452" i="12" s="1"/>
  <c r="K452" i="12" s="1"/>
  <c r="F451" i="12"/>
  <c r="H451" i="12" s="1"/>
  <c r="K451" i="12" s="1"/>
  <c r="F450" i="12"/>
  <c r="H450" i="12" s="1"/>
  <c r="K450" i="12" s="1"/>
  <c r="F445" i="12"/>
  <c r="H445" i="12" s="1"/>
  <c r="H448" i="12" s="1"/>
  <c r="F442" i="12"/>
  <c r="F441" i="12"/>
  <c r="H441" i="12" s="1"/>
  <c r="K441" i="12" s="1"/>
  <c r="F440" i="12"/>
  <c r="F439" i="12"/>
  <c r="H439" i="12" s="1"/>
  <c r="K439" i="12" s="1"/>
  <c r="H438" i="12"/>
  <c r="F437" i="12"/>
  <c r="H437" i="12" s="1"/>
  <c r="K437" i="12" s="1"/>
  <c r="F436" i="12"/>
  <c r="H436" i="12" s="1"/>
  <c r="K436" i="12" s="1"/>
  <c r="F431" i="12"/>
  <c r="H431" i="12" s="1"/>
  <c r="H434" i="12" s="1"/>
  <c r="F428" i="12"/>
  <c r="H428" i="12" s="1"/>
  <c r="K428" i="12" s="1"/>
  <c r="F423" i="12"/>
  <c r="H423" i="12" s="1"/>
  <c r="F418" i="12"/>
  <c r="H418" i="12" s="1"/>
  <c r="F415" i="12"/>
  <c r="H415" i="12" s="1"/>
  <c r="K415" i="12" s="1"/>
  <c r="H414" i="12"/>
  <c r="F413" i="12"/>
  <c r="F412" i="12"/>
  <c r="H412" i="12" s="1"/>
  <c r="K412" i="12" s="1"/>
  <c r="F407" i="12"/>
  <c r="H407" i="12" s="1"/>
  <c r="F404" i="12"/>
  <c r="H404" i="12" s="1"/>
  <c r="K404" i="12" s="1"/>
  <c r="F403" i="12"/>
  <c r="H403" i="12" s="1"/>
  <c r="K403" i="12" s="1"/>
  <c r="H402" i="12"/>
  <c r="F401" i="12"/>
  <c r="H401" i="12" s="1"/>
  <c r="K401" i="12" s="1"/>
  <c r="F400" i="12"/>
  <c r="F395" i="12"/>
  <c r="F394" i="12"/>
  <c r="H394" i="12" s="1"/>
  <c r="F391" i="12"/>
  <c r="H391" i="12" s="1"/>
  <c r="K391" i="12" s="1"/>
  <c r="F390" i="12"/>
  <c r="H390" i="12" s="1"/>
  <c r="K390" i="12" s="1"/>
  <c r="H389" i="12"/>
  <c r="F388" i="12"/>
  <c r="H388" i="12" s="1"/>
  <c r="K388" i="12" s="1"/>
  <c r="F387" i="12"/>
  <c r="F382" i="12"/>
  <c r="F381" i="12"/>
  <c r="H381" i="12" s="1"/>
  <c r="F378" i="12"/>
  <c r="H378" i="12" s="1"/>
  <c r="K378" i="12" s="1"/>
  <c r="H377" i="12"/>
  <c r="F376" i="12"/>
  <c r="H376" i="12" s="1"/>
  <c r="K376" i="12" s="1"/>
  <c r="F375" i="12"/>
  <c r="H375" i="12" s="1"/>
  <c r="K375" i="12" s="1"/>
  <c r="F370" i="12"/>
  <c r="F365" i="12"/>
  <c r="H365" i="12" s="1"/>
  <c r="F362" i="12"/>
  <c r="H361" i="12"/>
  <c r="F360" i="12"/>
  <c r="H360" i="12" s="1"/>
  <c r="K360" i="12" s="1"/>
  <c r="F359" i="12"/>
  <c r="H359" i="12" s="1"/>
  <c r="K359" i="12" s="1"/>
  <c r="J1997" i="12" s="1"/>
  <c r="K1997" i="12" s="1"/>
  <c r="F354" i="12"/>
  <c r="H354" i="12" s="1"/>
  <c r="F349" i="12"/>
  <c r="H349" i="12" s="1"/>
  <c r="K349" i="12" s="1"/>
  <c r="F346" i="12"/>
  <c r="F345" i="12"/>
  <c r="F344" i="12"/>
  <c r="H344" i="12" s="1"/>
  <c r="K344" i="12" s="1"/>
  <c r="F339" i="12"/>
  <c r="F336" i="12"/>
  <c r="H336" i="12" s="1"/>
  <c r="K336" i="12" s="1"/>
  <c r="F335" i="12"/>
  <c r="H335" i="12" s="1"/>
  <c r="K335" i="12" s="1"/>
  <c r="F334" i="12"/>
  <c r="H334" i="12" s="1"/>
  <c r="K334" i="12" s="1"/>
  <c r="F329" i="12"/>
  <c r="H329" i="12" s="1"/>
  <c r="H333" i="12" s="1"/>
  <c r="F326" i="12"/>
  <c r="F325" i="12"/>
  <c r="H324" i="12"/>
  <c r="F323" i="12"/>
  <c r="H323" i="12" s="1"/>
  <c r="K323" i="12" s="1"/>
  <c r="F322" i="12"/>
  <c r="H322" i="12" s="1"/>
  <c r="K322" i="12" s="1"/>
  <c r="F317" i="12"/>
  <c r="H317" i="12" s="1"/>
  <c r="H321" i="12" s="1"/>
  <c r="F312" i="12"/>
  <c r="H312" i="12" s="1"/>
  <c r="H316" i="12" s="1"/>
  <c r="H309" i="12"/>
  <c r="K309" i="12" s="1"/>
  <c r="F308" i="12"/>
  <c r="H307" i="12"/>
  <c r="F306" i="12"/>
  <c r="H306" i="12" s="1"/>
  <c r="K306" i="12" s="1"/>
  <c r="F305" i="12"/>
  <c r="H305" i="12" s="1"/>
  <c r="K305" i="12" s="1"/>
  <c r="F300" i="12"/>
  <c r="F295" i="12"/>
  <c r="F292" i="12"/>
  <c r="H292" i="12" s="1"/>
  <c r="K292" i="12" s="1"/>
  <c r="F291" i="12"/>
  <c r="H291" i="12" s="1"/>
  <c r="K291" i="12" s="1"/>
  <c r="F290" i="12"/>
  <c r="H290" i="12" s="1"/>
  <c r="K290" i="12" s="1"/>
  <c r="F285" i="12"/>
  <c r="H285" i="12" s="1"/>
  <c r="H289" i="12" s="1"/>
  <c r="F280" i="12"/>
  <c r="H280" i="12" s="1"/>
  <c r="F277" i="12"/>
  <c r="H277" i="12" s="1"/>
  <c r="K277" i="12" s="1"/>
  <c r="F276" i="12"/>
  <c r="H276" i="12" s="1"/>
  <c r="K276" i="12" s="1"/>
  <c r="F275" i="12"/>
  <c r="F270" i="12"/>
  <c r="H270" i="12" s="1"/>
  <c r="F267" i="12"/>
  <c r="H267" i="12" s="1"/>
  <c r="K267" i="12" s="1"/>
  <c r="F266" i="12"/>
  <c r="F265" i="12"/>
  <c r="H265" i="12" s="1"/>
  <c r="K265" i="12" s="1"/>
  <c r="F260" i="12"/>
  <c r="H260" i="12" s="1"/>
  <c r="H261" i="12" s="1"/>
  <c r="H262" i="12" s="1"/>
  <c r="F255" i="12"/>
  <c r="H255" i="12" s="1"/>
  <c r="K255" i="12" s="1"/>
  <c r="F252" i="12"/>
  <c r="H252" i="12" s="1"/>
  <c r="K252" i="12" s="1"/>
  <c r="F251" i="12"/>
  <c r="H251" i="12" s="1"/>
  <c r="K251" i="12" s="1"/>
  <c r="F250" i="12"/>
  <c r="H250" i="12" s="1"/>
  <c r="K250" i="12" s="1"/>
  <c r="F245" i="12"/>
  <c r="H245" i="12" s="1"/>
  <c r="K245" i="12" s="1"/>
  <c r="F240" i="12"/>
  <c r="F237" i="12"/>
  <c r="H237" i="12" s="1"/>
  <c r="K237" i="12" s="1"/>
  <c r="F236" i="12"/>
  <c r="H236" i="12" s="1"/>
  <c r="K236" i="12" s="1"/>
  <c r="F235" i="12"/>
  <c r="H235" i="12" s="1"/>
  <c r="K235" i="12" s="1"/>
  <c r="F230" i="12"/>
  <c r="H230" i="12" s="1"/>
  <c r="H233" i="12" s="1"/>
  <c r="F227" i="12"/>
  <c r="F226" i="12"/>
  <c r="H226" i="12" s="1"/>
  <c r="K226" i="12" s="1"/>
  <c r="F225" i="12"/>
  <c r="F220" i="12"/>
  <c r="F215" i="12"/>
  <c r="F212" i="12"/>
  <c r="F211" i="12"/>
  <c r="H211" i="12" s="1"/>
  <c r="K211" i="12" s="1"/>
  <c r="F210" i="12"/>
  <c r="H210" i="12" s="1"/>
  <c r="K210" i="12" s="1"/>
  <c r="F205" i="12"/>
  <c r="H205" i="12" s="1"/>
  <c r="F202" i="12"/>
  <c r="H202" i="12" s="1"/>
  <c r="K202" i="12" s="1"/>
  <c r="F201" i="12"/>
  <c r="H201" i="12" s="1"/>
  <c r="K201" i="12" s="1"/>
  <c r="F200" i="12"/>
  <c r="H200" i="12" s="1"/>
  <c r="K200" i="12" s="1"/>
  <c r="F195" i="12"/>
  <c r="H195" i="12" s="1"/>
  <c r="H199" i="12" s="1"/>
  <c r="F190" i="12"/>
  <c r="H190" i="12" s="1"/>
  <c r="F187" i="12"/>
  <c r="H187" i="12" s="1"/>
  <c r="K187" i="12" s="1"/>
  <c r="F186" i="12"/>
  <c r="H186" i="12" s="1"/>
  <c r="K186" i="12" s="1"/>
  <c r="F181" i="12"/>
  <c r="H181" i="12" s="1"/>
  <c r="H184" i="12" s="1"/>
  <c r="F178" i="12"/>
  <c r="H178" i="12" s="1"/>
  <c r="K178" i="12" s="1"/>
  <c r="F173" i="12"/>
  <c r="H173" i="12" s="1"/>
  <c r="H176" i="12" s="1"/>
  <c r="F168" i="12"/>
  <c r="H168" i="12" s="1"/>
  <c r="F165" i="12"/>
  <c r="F160" i="12"/>
  <c r="F155" i="12"/>
  <c r="H155" i="12" s="1"/>
  <c r="H156" i="12" s="1"/>
  <c r="H157" i="12" s="1"/>
  <c r="H150" i="12"/>
  <c r="F151" i="12"/>
  <c r="H151" i="12" s="1"/>
  <c r="K151" i="12" s="1"/>
  <c r="F149" i="12"/>
  <c r="H149" i="12" s="1"/>
  <c r="K149" i="12" s="1"/>
  <c r="F148" i="12"/>
  <c r="H148" i="12" s="1"/>
  <c r="K148" i="12" s="1"/>
  <c r="F143" i="12"/>
  <c r="H143" i="12" s="1"/>
  <c r="H146" i="12" s="1"/>
  <c r="K1293" i="12" l="1"/>
  <c r="H1298" i="12"/>
  <c r="K1298" i="12" s="1"/>
  <c r="H1297" i="12"/>
  <c r="H1296" i="12"/>
  <c r="H1281" i="12"/>
  <c r="K1278" i="12"/>
  <c r="H1282" i="12"/>
  <c r="H651" i="12"/>
  <c r="H1268" i="12"/>
  <c r="H1273" i="12"/>
  <c r="K1273" i="12" s="1"/>
  <c r="H1274" i="12"/>
  <c r="K1274" i="12" s="1"/>
  <c r="H1275" i="12"/>
  <c r="K1275" i="12" s="1"/>
  <c r="H1288" i="12"/>
  <c r="K1288" i="12" s="1"/>
  <c r="H1289" i="12"/>
  <c r="K1289" i="12" s="1"/>
  <c r="H1279" i="12"/>
  <c r="H1280" i="12" s="1"/>
  <c r="K523" i="12"/>
  <c r="H655" i="12"/>
  <c r="H656" i="12"/>
  <c r="K652" i="12"/>
  <c r="H744" i="12"/>
  <c r="K741" i="12"/>
  <c r="H745" i="12"/>
  <c r="H905" i="12"/>
  <c r="K902" i="12"/>
  <c r="K505" i="12"/>
  <c r="K723" i="12"/>
  <c r="K942" i="12"/>
  <c r="K1222" i="12"/>
  <c r="H1226" i="12"/>
  <c r="H1223" i="12"/>
  <c r="H1224" i="12" s="1"/>
  <c r="H885" i="12"/>
  <c r="H886" i="12"/>
  <c r="K882" i="12"/>
  <c r="H1016" i="12"/>
  <c r="H1017" i="12"/>
  <c r="K1013" i="12"/>
  <c r="H635" i="12"/>
  <c r="H636" i="12"/>
  <c r="K632" i="12"/>
  <c r="K862" i="12"/>
  <c r="H865" i="12"/>
  <c r="H940" i="12"/>
  <c r="K937" i="12"/>
  <c r="H941" i="12"/>
  <c r="H990" i="12"/>
  <c r="H991" i="12"/>
  <c r="K987" i="12"/>
  <c r="K466" i="12"/>
  <c r="K484" i="12"/>
  <c r="K672" i="12"/>
  <c r="K677" i="12"/>
  <c r="K697" i="12"/>
  <c r="H727" i="12"/>
  <c r="H906" i="12"/>
  <c r="K922" i="12"/>
  <c r="H946" i="12"/>
  <c r="K962" i="12"/>
  <c r="K967" i="12"/>
  <c r="K1031" i="12"/>
  <c r="H488" i="12"/>
  <c r="H676" i="12"/>
  <c r="H681" i="12"/>
  <c r="H701" i="12"/>
  <c r="H966" i="12"/>
  <c r="H971" i="12"/>
  <c r="H1035" i="12"/>
  <c r="H772" i="12"/>
  <c r="H770" i="12"/>
  <c r="H771" i="12" s="1"/>
  <c r="H773" i="12"/>
  <c r="K769" i="12"/>
  <c r="H786" i="12"/>
  <c r="K782" i="12"/>
  <c r="H785" i="12"/>
  <c r="H783" i="12"/>
  <c r="H784" i="12" s="1"/>
  <c r="H791" i="12"/>
  <c r="K787" i="12"/>
  <c r="H790" i="12"/>
  <c r="H788" i="12"/>
  <c r="H789" i="12" s="1"/>
  <c r="H808" i="12"/>
  <c r="K804" i="12"/>
  <c r="H807" i="12"/>
  <c r="H805" i="12"/>
  <c r="H806" i="12" s="1"/>
  <c r="H912" i="12"/>
  <c r="H918" i="12"/>
  <c r="K918" i="12" s="1"/>
  <c r="H1026" i="12"/>
  <c r="K1026" i="12" s="1"/>
  <c r="K756" i="12"/>
  <c r="H761" i="12"/>
  <c r="H766" i="12"/>
  <c r="K766" i="12" s="1"/>
  <c r="K774" i="12"/>
  <c r="H778" i="12"/>
  <c r="K795" i="12"/>
  <c r="H799" i="12"/>
  <c r="K813" i="12"/>
  <c r="H817" i="12"/>
  <c r="K818" i="12"/>
  <c r="H822" i="12"/>
  <c r="H830" i="12"/>
  <c r="H828" i="12"/>
  <c r="H829" i="12" s="1"/>
  <c r="H837" i="12"/>
  <c r="H845" i="12"/>
  <c r="H843" i="12"/>
  <c r="H844" i="12" s="1"/>
  <c r="H852" i="12"/>
  <c r="H858" i="12"/>
  <c r="K858" i="12" s="1"/>
  <c r="H866" i="12"/>
  <c r="H863" i="12"/>
  <c r="H864" i="12" s="1"/>
  <c r="H870" i="12"/>
  <c r="H872" i="12"/>
  <c r="K872" i="12" s="1"/>
  <c r="H892" i="12"/>
  <c r="H919" i="12"/>
  <c r="K919" i="12" s="1"/>
  <c r="H952" i="12"/>
  <c r="H958" i="12"/>
  <c r="K958" i="12" s="1"/>
  <c r="H982" i="12"/>
  <c r="K982" i="12" s="1"/>
  <c r="H1002" i="12"/>
  <c r="K1002" i="12" s="1"/>
  <c r="H1021" i="12"/>
  <c r="H1027" i="12"/>
  <c r="K1027" i="12" s="1"/>
  <c r="H1041" i="12"/>
  <c r="K1041" i="12" s="1"/>
  <c r="H759" i="12"/>
  <c r="H957" i="12"/>
  <c r="K957" i="12" s="1"/>
  <c r="K842" i="12"/>
  <c r="H930" i="12"/>
  <c r="H928" i="12"/>
  <c r="H929" i="12" s="1"/>
  <c r="H931" i="12"/>
  <c r="K927" i="12"/>
  <c r="H959" i="12"/>
  <c r="K959" i="12" s="1"/>
  <c r="H977" i="12"/>
  <c r="H983" i="12"/>
  <c r="K983" i="12" s="1"/>
  <c r="H997" i="12"/>
  <c r="H1003" i="12"/>
  <c r="K1003" i="12" s="1"/>
  <c r="H1008" i="12"/>
  <c r="H1028" i="12"/>
  <c r="K1028" i="12" s="1"/>
  <c r="H1042" i="12"/>
  <c r="K1042" i="12" s="1"/>
  <c r="H871" i="12"/>
  <c r="K867" i="12"/>
  <c r="H880" i="12"/>
  <c r="H878" i="12"/>
  <c r="H879" i="12" s="1"/>
  <c r="H760" i="12"/>
  <c r="K827" i="12"/>
  <c r="H775" i="12"/>
  <c r="H776" i="12" s="1"/>
  <c r="H796" i="12"/>
  <c r="H797" i="12" s="1"/>
  <c r="H814" i="12"/>
  <c r="H815" i="12" s="1"/>
  <c r="H819" i="12"/>
  <c r="H820" i="12" s="1"/>
  <c r="H881" i="12"/>
  <c r="H917" i="12"/>
  <c r="K917" i="12" s="1"/>
  <c r="H984" i="12"/>
  <c r="K984" i="12" s="1"/>
  <c r="H926" i="12"/>
  <c r="H938" i="12"/>
  <c r="H939" i="12" s="1"/>
  <c r="H883" i="12"/>
  <c r="H884" i="12" s="1"/>
  <c r="H903" i="12"/>
  <c r="H904" i="12" s="1"/>
  <c r="H923" i="12"/>
  <c r="H924" i="12" s="1"/>
  <c r="H943" i="12"/>
  <c r="H944" i="12" s="1"/>
  <c r="H963" i="12"/>
  <c r="H964" i="12" s="1"/>
  <c r="H968" i="12"/>
  <c r="H969" i="12" s="1"/>
  <c r="H988" i="12"/>
  <c r="H989" i="12" s="1"/>
  <c r="H1014" i="12"/>
  <c r="H1015" i="12" s="1"/>
  <c r="H1032" i="12"/>
  <c r="H1033" i="12" s="1"/>
  <c r="H557" i="12"/>
  <c r="K557" i="12" s="1"/>
  <c r="J2089" i="12" s="1"/>
  <c r="K2089" i="12" s="1"/>
  <c r="H565" i="12"/>
  <c r="H563" i="12"/>
  <c r="H564" i="12" s="1"/>
  <c r="H566" i="12"/>
  <c r="K562" i="12"/>
  <c r="H474" i="12"/>
  <c r="H472" i="12"/>
  <c r="H473" i="12" s="1"/>
  <c r="H475" i="12"/>
  <c r="K471" i="12"/>
  <c r="H502" i="12"/>
  <c r="K502" i="12" s="1"/>
  <c r="H543" i="12"/>
  <c r="K543" i="12" s="1"/>
  <c r="H537" i="12"/>
  <c r="H492" i="12"/>
  <c r="H501" i="12"/>
  <c r="K497" i="12"/>
  <c r="H498" i="12"/>
  <c r="H499" i="12" s="1"/>
  <c r="H500" i="12"/>
  <c r="H518" i="12"/>
  <c r="K514" i="12"/>
  <c r="H517" i="12"/>
  <c r="K479" i="12"/>
  <c r="H482" i="12"/>
  <c r="H480" i="12"/>
  <c r="H481" i="12" s="1"/>
  <c r="H556" i="12"/>
  <c r="K552" i="12"/>
  <c r="H553" i="12"/>
  <c r="H554" i="12" s="1"/>
  <c r="H555" i="12"/>
  <c r="H575" i="12"/>
  <c r="K572" i="12"/>
  <c r="H580" i="12"/>
  <c r="H578" i="12"/>
  <c r="H579" i="12" s="1"/>
  <c r="H591" i="12"/>
  <c r="K587" i="12"/>
  <c r="H470" i="12"/>
  <c r="H531" i="12"/>
  <c r="H529" i="12"/>
  <c r="H530" i="12" s="1"/>
  <c r="H551" i="12"/>
  <c r="H548" i="12"/>
  <c r="H549" i="12" s="1"/>
  <c r="H576" i="12"/>
  <c r="K577" i="12"/>
  <c r="H590" i="12"/>
  <c r="H592" i="12"/>
  <c r="H598" i="12"/>
  <c r="K598" i="12" s="1"/>
  <c r="H605" i="12"/>
  <c r="H603" i="12"/>
  <c r="H604" i="12" s="1"/>
  <c r="H640" i="12"/>
  <c r="H638" i="12"/>
  <c r="H639" i="12" s="1"/>
  <c r="H738" i="12"/>
  <c r="K738" i="12" s="1"/>
  <c r="H751" i="12"/>
  <c r="K751" i="12" s="1"/>
  <c r="H623" i="12"/>
  <c r="H624" i="12" s="1"/>
  <c r="H626" i="12"/>
  <c r="H691" i="12"/>
  <c r="K687" i="12"/>
  <c r="H711" i="12"/>
  <c r="K707" i="12"/>
  <c r="H721" i="12"/>
  <c r="K718" i="12"/>
  <c r="H731" i="12"/>
  <c r="H737" i="12"/>
  <c r="K737" i="12" s="1"/>
  <c r="H612" i="12"/>
  <c r="H618" i="12"/>
  <c r="K618" i="12" s="1"/>
  <c r="K622" i="12"/>
  <c r="K647" i="12"/>
  <c r="H650" i="12"/>
  <c r="H467" i="12"/>
  <c r="H468" i="12" s="1"/>
  <c r="H485" i="12"/>
  <c r="H486" i="12" s="1"/>
  <c r="H508" i="12"/>
  <c r="H506" i="12"/>
  <c r="H507" i="12" s="1"/>
  <c r="K528" i="12"/>
  <c r="K547" i="12"/>
  <c r="H573" i="12"/>
  <c r="H574" i="12" s="1"/>
  <c r="H588" i="12"/>
  <c r="H589" i="12" s="1"/>
  <c r="K602" i="12"/>
  <c r="H627" i="12"/>
  <c r="K627" i="12" s="1"/>
  <c r="H629" i="12"/>
  <c r="K629" i="12" s="1"/>
  <c r="K637" i="12"/>
  <c r="H662" i="12"/>
  <c r="H667" i="12"/>
  <c r="K667" i="12" s="1"/>
  <c r="H669" i="12"/>
  <c r="K669" i="12" s="1"/>
  <c r="H688" i="12"/>
  <c r="H689" i="12" s="1"/>
  <c r="H693" i="12"/>
  <c r="K693" i="12" s="1"/>
  <c r="H708" i="12"/>
  <c r="H709" i="12" s="1"/>
  <c r="H713" i="12"/>
  <c r="K713" i="12" s="1"/>
  <c r="H719" i="12"/>
  <c r="H720" i="12" s="1"/>
  <c r="H752" i="12"/>
  <c r="K752" i="12" s="1"/>
  <c r="H526" i="12"/>
  <c r="H524" i="12"/>
  <c r="H525" i="12" s="1"/>
  <c r="H581" i="12"/>
  <c r="H625" i="12"/>
  <c r="H736" i="12"/>
  <c r="K736" i="12" s="1"/>
  <c r="H633" i="12"/>
  <c r="H634" i="12" s="1"/>
  <c r="H653" i="12"/>
  <c r="H654" i="12" s="1"/>
  <c r="H673" i="12"/>
  <c r="H674" i="12" s="1"/>
  <c r="H678" i="12"/>
  <c r="H679" i="12" s="1"/>
  <c r="H698" i="12"/>
  <c r="H699" i="12" s="1"/>
  <c r="H724" i="12"/>
  <c r="H725" i="12" s="1"/>
  <c r="H742" i="12"/>
  <c r="H743" i="12" s="1"/>
  <c r="H1311" i="12"/>
  <c r="H1312" i="12"/>
  <c r="K1312" i="12" s="1"/>
  <c r="K329" i="12"/>
  <c r="K270" i="12"/>
  <c r="H274" i="12"/>
  <c r="K354" i="12"/>
  <c r="H358" i="12"/>
  <c r="H263" i="12"/>
  <c r="K431" i="12"/>
  <c r="K445" i="12"/>
  <c r="H435" i="12"/>
  <c r="H449" i="12"/>
  <c r="H171" i="12"/>
  <c r="H169" i="12"/>
  <c r="H170" i="12" s="1"/>
  <c r="H172" i="12"/>
  <c r="K168" i="12"/>
  <c r="H193" i="12"/>
  <c r="K190" i="12"/>
  <c r="H194" i="12"/>
  <c r="H191" i="12"/>
  <c r="H192" i="12" s="1"/>
  <c r="H209" i="12"/>
  <c r="K205" i="12"/>
  <c r="H208" i="12"/>
  <c r="H206" i="12"/>
  <c r="H207" i="12" s="1"/>
  <c r="K381" i="12"/>
  <c r="H362" i="12"/>
  <c r="K362" i="12" s="1"/>
  <c r="H366" i="12"/>
  <c r="H367" i="12" s="1"/>
  <c r="H369" i="12"/>
  <c r="H368" i="12"/>
  <c r="H160" i="12"/>
  <c r="H165" i="12"/>
  <c r="K165" i="12" s="1"/>
  <c r="H185" i="12"/>
  <c r="H225" i="12"/>
  <c r="K225" i="12" s="1"/>
  <c r="K230" i="12"/>
  <c r="H234" i="12"/>
  <c r="H275" i="12"/>
  <c r="K275" i="12" s="1"/>
  <c r="H283" i="12"/>
  <c r="H281" i="12"/>
  <c r="H282" i="12" s="1"/>
  <c r="H284" i="12"/>
  <c r="H400" i="12"/>
  <c r="K400" i="12" s="1"/>
  <c r="H411" i="12"/>
  <c r="K407" i="12"/>
  <c r="H408" i="12"/>
  <c r="H409" i="12" s="1"/>
  <c r="H410" i="12"/>
  <c r="H413" i="12"/>
  <c r="K413" i="12" s="1"/>
  <c r="H455" i="12"/>
  <c r="H198" i="12"/>
  <c r="H196" i="12"/>
  <c r="H197" i="12" s="1"/>
  <c r="H240" i="12"/>
  <c r="K280" i="12"/>
  <c r="H288" i="12"/>
  <c r="H286" i="12"/>
  <c r="H287" i="12" s="1"/>
  <c r="K285" i="12"/>
  <c r="H300" i="12"/>
  <c r="H387" i="12"/>
  <c r="K387" i="12" s="1"/>
  <c r="K394" i="12"/>
  <c r="H427" i="12"/>
  <c r="K423" i="12"/>
  <c r="H424" i="12"/>
  <c r="H425" i="12" s="1"/>
  <c r="H426" i="12"/>
  <c r="H442" i="12"/>
  <c r="K442" i="12" s="1"/>
  <c r="H462" i="12"/>
  <c r="K462" i="12" s="1"/>
  <c r="H158" i="12"/>
  <c r="K155" i="12"/>
  <c r="K173" i="12"/>
  <c r="H177" i="12"/>
  <c r="K181" i="12"/>
  <c r="H212" i="12"/>
  <c r="K212" i="12" s="1"/>
  <c r="H248" i="12"/>
  <c r="H246" i="12"/>
  <c r="H247" i="12" s="1"/>
  <c r="H249" i="12"/>
  <c r="H259" i="12"/>
  <c r="H266" i="12"/>
  <c r="K266" i="12" s="1"/>
  <c r="H273" i="12"/>
  <c r="H271" i="12"/>
  <c r="H272" i="12" s="1"/>
  <c r="H295" i="12"/>
  <c r="H308" i="12"/>
  <c r="K308" i="12" s="1"/>
  <c r="H325" i="12"/>
  <c r="K325" i="12" s="1"/>
  <c r="H339" i="12"/>
  <c r="H345" i="12"/>
  <c r="K345" i="12" s="1"/>
  <c r="K365" i="12"/>
  <c r="H370" i="12"/>
  <c r="H159" i="12"/>
  <c r="H220" i="12"/>
  <c r="H174" i="12"/>
  <c r="H175" i="12" s="1"/>
  <c r="H182" i="12"/>
  <c r="H183" i="12" s="1"/>
  <c r="K195" i="12"/>
  <c r="H215" i="12"/>
  <c r="H227" i="12"/>
  <c r="K227" i="12" s="1"/>
  <c r="H231" i="12"/>
  <c r="H232" i="12" s="1"/>
  <c r="H256" i="12"/>
  <c r="H257" i="12" s="1"/>
  <c r="H258" i="12"/>
  <c r="H264" i="12"/>
  <c r="K260" i="12"/>
  <c r="K312" i="12"/>
  <c r="H315" i="12"/>
  <c r="H313" i="12"/>
  <c r="H314" i="12" s="1"/>
  <c r="H320" i="12"/>
  <c r="H318" i="12"/>
  <c r="H319" i="12" s="1"/>
  <c r="K317" i="12"/>
  <c r="H326" i="12"/>
  <c r="K326" i="12" s="1"/>
  <c r="H332" i="12"/>
  <c r="H330" i="12"/>
  <c r="H331" i="12" s="1"/>
  <c r="H346" i="12"/>
  <c r="K346" i="12" s="1"/>
  <c r="H352" i="12"/>
  <c r="H350" i="12"/>
  <c r="H351" i="12" s="1"/>
  <c r="H353" i="12"/>
  <c r="H382" i="12"/>
  <c r="K382" i="12" s="1"/>
  <c r="H395" i="12"/>
  <c r="H422" i="12"/>
  <c r="K418" i="12"/>
  <c r="H421" i="12"/>
  <c r="H419" i="12"/>
  <c r="H420" i="12" s="1"/>
  <c r="H440" i="12"/>
  <c r="K440" i="12" s="1"/>
  <c r="H460" i="12"/>
  <c r="K460" i="12" s="1"/>
  <c r="H357" i="12"/>
  <c r="H355" i="12"/>
  <c r="H356" i="12" s="1"/>
  <c r="H432" i="12"/>
  <c r="H433" i="12" s="1"/>
  <c r="H446" i="12"/>
  <c r="H447" i="12" s="1"/>
  <c r="H1170" i="12"/>
  <c r="H1168" i="12"/>
  <c r="H1169" i="12" s="1"/>
  <c r="K1172" i="12"/>
  <c r="H1176" i="12"/>
  <c r="K1167" i="12"/>
  <c r="H1173" i="12"/>
  <c r="H1174" i="12" s="1"/>
  <c r="H1130" i="12"/>
  <c r="H1128" i="12"/>
  <c r="H1129" i="12" s="1"/>
  <c r="K1127" i="12"/>
  <c r="K1132" i="12"/>
  <c r="H1136" i="12"/>
  <c r="H1133" i="12"/>
  <c r="H1134" i="12" s="1"/>
  <c r="K143" i="12"/>
  <c r="H147" i="12"/>
  <c r="H144" i="12"/>
  <c r="H145" i="12" s="1"/>
  <c r="H79" i="12"/>
  <c r="K79" i="12" s="1"/>
  <c r="H59" i="12"/>
  <c r="K59" i="12" s="1"/>
  <c r="H58" i="12"/>
  <c r="K58" i="12" s="1"/>
  <c r="H1374" i="12"/>
  <c r="K1374" i="12" s="1"/>
  <c r="H1375" i="12"/>
  <c r="K1375" i="12" s="1"/>
  <c r="H1323" i="12"/>
  <c r="K1323" i="12" s="1"/>
  <c r="H1329" i="12"/>
  <c r="K1329" i="12" s="1"/>
  <c r="L1331" i="12" s="1"/>
  <c r="H1320" i="12"/>
  <c r="K1320" i="12" s="1"/>
  <c r="H1319" i="12"/>
  <c r="K1319" i="12" s="1"/>
  <c r="H1318" i="12"/>
  <c r="K1318" i="12" s="1"/>
  <c r="H1317" i="12"/>
  <c r="K1317" i="12" s="1"/>
  <c r="H1308" i="12"/>
  <c r="K1308" i="12" s="1"/>
  <c r="H1307" i="12"/>
  <c r="K1307" i="12" s="1"/>
  <c r="H1306" i="12"/>
  <c r="K1306" i="12" s="1"/>
  <c r="H1301" i="12"/>
  <c r="H1305" i="12" s="1"/>
  <c r="H1271" i="12" l="1"/>
  <c r="H1269" i="12"/>
  <c r="H1270" i="12" s="1"/>
  <c r="H1272" i="12"/>
  <c r="K1268" i="12"/>
  <c r="H916" i="12"/>
  <c r="K912" i="12"/>
  <c r="H913" i="12"/>
  <c r="H914" i="12" s="1"/>
  <c r="H915" i="12"/>
  <c r="H896" i="12"/>
  <c r="K892" i="12"/>
  <c r="H893" i="12"/>
  <c r="H894" i="12" s="1"/>
  <c r="H895" i="12"/>
  <c r="H1011" i="12"/>
  <c r="K1008" i="12"/>
  <c r="H1012" i="12"/>
  <c r="H1009" i="12"/>
  <c r="H1010" i="12" s="1"/>
  <c r="H1001" i="12"/>
  <c r="K997" i="12"/>
  <c r="H1000" i="12"/>
  <c r="H998" i="12"/>
  <c r="H999" i="12" s="1"/>
  <c r="H981" i="12"/>
  <c r="K977" i="12"/>
  <c r="H980" i="12"/>
  <c r="H978" i="12"/>
  <c r="H979" i="12" s="1"/>
  <c r="H840" i="12"/>
  <c r="K837" i="12"/>
  <c r="H838" i="12"/>
  <c r="H839" i="12" s="1"/>
  <c r="H841" i="12"/>
  <c r="H765" i="12"/>
  <c r="K761" i="12"/>
  <c r="H762" i="12"/>
  <c r="H763" i="12" s="1"/>
  <c r="H764" i="12"/>
  <c r="H1025" i="12"/>
  <c r="K1021" i="12"/>
  <c r="H1022" i="12"/>
  <c r="H1023" i="12" s="1"/>
  <c r="H1024" i="12"/>
  <c r="H956" i="12"/>
  <c r="K952" i="12"/>
  <c r="H953" i="12"/>
  <c r="H954" i="12" s="1"/>
  <c r="H955" i="12"/>
  <c r="H856" i="12"/>
  <c r="K852" i="12"/>
  <c r="H853" i="12"/>
  <c r="H854" i="12" s="1"/>
  <c r="H855" i="12"/>
  <c r="H735" i="12"/>
  <c r="K731" i="12"/>
  <c r="H732" i="12"/>
  <c r="H733" i="12" s="1"/>
  <c r="H734" i="12"/>
  <c r="H541" i="12"/>
  <c r="K537" i="12"/>
  <c r="H538" i="12"/>
  <c r="H539" i="12" s="1"/>
  <c r="H540" i="12"/>
  <c r="H666" i="12"/>
  <c r="K662" i="12"/>
  <c r="H665" i="12"/>
  <c r="H663" i="12"/>
  <c r="H664" i="12" s="1"/>
  <c r="H616" i="12"/>
  <c r="K612" i="12"/>
  <c r="H613" i="12"/>
  <c r="H614" i="12" s="1"/>
  <c r="H615" i="12"/>
  <c r="H496" i="12"/>
  <c r="K492" i="12"/>
  <c r="H493" i="12"/>
  <c r="H494" i="12" s="1"/>
  <c r="H495" i="12"/>
  <c r="H596" i="12"/>
  <c r="K592" i="12"/>
  <c r="H593" i="12"/>
  <c r="H594" i="12" s="1"/>
  <c r="H595" i="12"/>
  <c r="K1311" i="12"/>
  <c r="H386" i="12"/>
  <c r="K395" i="12"/>
  <c r="H396" i="12"/>
  <c r="H397" i="12" s="1"/>
  <c r="H459" i="12"/>
  <c r="K455" i="12"/>
  <c r="H458" i="12"/>
  <c r="H456" i="12"/>
  <c r="H457" i="12" s="1"/>
  <c r="H385" i="12"/>
  <c r="H303" i="12"/>
  <c r="H301" i="12"/>
  <c r="H302" i="12" s="1"/>
  <c r="K300" i="12"/>
  <c r="H304" i="12"/>
  <c r="H399" i="12"/>
  <c r="H164" i="12"/>
  <c r="K160" i="12"/>
  <c r="H163" i="12"/>
  <c r="H161" i="12"/>
  <c r="H162" i="12" s="1"/>
  <c r="H218" i="12"/>
  <c r="H216" i="12"/>
  <c r="H217" i="12" s="1"/>
  <c r="H219" i="12"/>
  <c r="K215" i="12"/>
  <c r="H224" i="12"/>
  <c r="K220" i="12"/>
  <c r="H223" i="12"/>
  <c r="H221" i="12"/>
  <c r="H222" i="12" s="1"/>
  <c r="H374" i="12"/>
  <c r="K370" i="12"/>
  <c r="H373" i="12"/>
  <c r="H371" i="12"/>
  <c r="H372" i="12" s="1"/>
  <c r="H343" i="12"/>
  <c r="K339" i="12"/>
  <c r="H340" i="12"/>
  <c r="H341" i="12" s="1"/>
  <c r="H342" i="12"/>
  <c r="K295" i="12"/>
  <c r="H298" i="12"/>
  <c r="H296" i="12"/>
  <c r="H297" i="12" s="1"/>
  <c r="H299" i="12"/>
  <c r="H398" i="12"/>
  <c r="H243" i="12"/>
  <c r="H241" i="12"/>
  <c r="H242" i="12" s="1"/>
  <c r="K240" i="12"/>
  <c r="H244" i="12"/>
  <c r="H383" i="12"/>
  <c r="H384" i="12" s="1"/>
  <c r="H1302" i="12"/>
  <c r="H1303" i="12" s="1"/>
  <c r="H1304" i="12"/>
  <c r="K1301" i="12"/>
  <c r="H1265" i="12"/>
  <c r="K1265" i="12" s="1"/>
  <c r="H1260" i="12"/>
  <c r="H1264" i="12" s="1"/>
  <c r="H1255" i="12"/>
  <c r="H1258" i="12" s="1"/>
  <c r="H1252" i="12"/>
  <c r="K1252" i="12" s="1"/>
  <c r="H1250" i="12"/>
  <c r="K1250" i="12" s="1"/>
  <c r="H1249" i="12"/>
  <c r="K1249" i="12" s="1"/>
  <c r="H1244" i="12"/>
  <c r="H1247" i="12" s="1"/>
  <c r="H1241" i="12"/>
  <c r="K1241" i="12" s="1"/>
  <c r="H1240" i="12"/>
  <c r="K1240" i="12" s="1"/>
  <c r="H1239" i="12"/>
  <c r="K1239" i="12" s="1"/>
  <c r="H1234" i="12"/>
  <c r="H1237" i="12" s="1"/>
  <c r="H1124" i="12"/>
  <c r="K1124" i="12" s="1"/>
  <c r="K1255" i="12" l="1"/>
  <c r="H1259" i="12"/>
  <c r="H1261" i="12"/>
  <c r="H1262" i="12" s="1"/>
  <c r="H1263" i="12"/>
  <c r="H1256" i="12"/>
  <c r="H1257" i="12" s="1"/>
  <c r="K1260" i="12"/>
  <c r="K1244" i="12"/>
  <c r="H1248" i="12"/>
  <c r="H1245" i="12"/>
  <c r="H1246" i="12" s="1"/>
  <c r="K1234" i="12"/>
  <c r="H1238" i="12"/>
  <c r="H1235" i="12"/>
  <c r="H1236" i="12" s="1"/>
  <c r="H1219" i="12"/>
  <c r="K1219" i="12" s="1"/>
  <c r="H1218" i="12"/>
  <c r="K1218" i="12" s="1"/>
  <c r="H1217" i="12"/>
  <c r="K1217" i="12" s="1"/>
  <c r="H1212" i="12"/>
  <c r="H1216" i="12" s="1"/>
  <c r="H1199" i="12"/>
  <c r="K1199" i="12" s="1"/>
  <c r="H1198" i="12"/>
  <c r="K1198" i="12" s="1"/>
  <c r="H1197" i="12"/>
  <c r="K1197" i="12" s="1"/>
  <c r="H1192" i="12"/>
  <c r="H1195" i="12" s="1"/>
  <c r="H1189" i="12"/>
  <c r="K1189" i="12" s="1"/>
  <c r="H1188" i="12"/>
  <c r="K1188" i="12" s="1"/>
  <c r="H1187" i="12"/>
  <c r="K1187" i="12" s="1"/>
  <c r="H1182" i="12"/>
  <c r="H1185" i="12" s="1"/>
  <c r="H1164" i="12"/>
  <c r="K1164" i="12" s="1"/>
  <c r="H1163" i="12"/>
  <c r="K1163" i="12" s="1"/>
  <c r="H1162" i="12"/>
  <c r="K1162" i="12" s="1"/>
  <c r="H1157" i="12"/>
  <c r="H1160" i="12" s="1"/>
  <c r="H1152" i="12"/>
  <c r="H1156" i="12" s="1"/>
  <c r="H1149" i="12"/>
  <c r="K1149" i="12" s="1"/>
  <c r="H1148" i="12"/>
  <c r="K1148" i="12" s="1"/>
  <c r="H1147" i="12"/>
  <c r="K1147" i="12" s="1"/>
  <c r="H1142" i="12"/>
  <c r="H1145" i="12" s="1"/>
  <c r="H1209" i="12"/>
  <c r="K1209" i="12" s="1"/>
  <c r="H1208" i="12"/>
  <c r="K1208" i="12" s="1"/>
  <c r="H1207" i="12"/>
  <c r="K1207" i="12" s="1"/>
  <c r="H1202" i="12"/>
  <c r="H1206" i="12" s="1"/>
  <c r="H1117" i="12"/>
  <c r="H1114" i="12"/>
  <c r="K1114" i="12" s="1"/>
  <c r="H1113" i="12"/>
  <c r="K1113" i="12" s="1"/>
  <c r="H1108" i="12"/>
  <c r="H1111" i="12" s="1"/>
  <c r="H1103" i="12"/>
  <c r="H1106" i="12" s="1"/>
  <c r="H1123" i="12"/>
  <c r="K1123" i="12" s="1"/>
  <c r="H1091" i="12"/>
  <c r="K1091" i="12" s="1"/>
  <c r="H1090" i="12"/>
  <c r="K1090" i="12" s="1"/>
  <c r="H1085" i="12"/>
  <c r="H1088" i="12" s="1"/>
  <c r="H1100" i="12"/>
  <c r="K1100" i="12" s="1"/>
  <c r="H1099" i="12"/>
  <c r="K1099" i="12" s="1"/>
  <c r="H1094" i="12"/>
  <c r="H1098" i="12" s="1"/>
  <c r="H1082" i="12"/>
  <c r="K1082" i="12" s="1"/>
  <c r="H1077" i="12"/>
  <c r="H1081" i="12" s="1"/>
  <c r="H1072" i="12"/>
  <c r="H1075" i="12" s="1"/>
  <c r="H1069" i="12"/>
  <c r="K1069" i="12" s="1"/>
  <c r="H1064" i="12"/>
  <c r="H1068" i="12" s="1"/>
  <c r="H1059" i="12"/>
  <c r="H1062" i="12" s="1"/>
  <c r="H1056" i="12"/>
  <c r="K1056" i="12" s="1"/>
  <c r="H1051" i="12"/>
  <c r="H1055" i="12" s="1"/>
  <c r="H1046" i="12"/>
  <c r="H1049" i="12" s="1"/>
  <c r="K1117" i="12" l="1"/>
  <c r="H1118" i="12"/>
  <c r="H1119" i="12" s="1"/>
  <c r="H1121" i="12"/>
  <c r="H1120" i="12"/>
  <c r="H1153" i="12"/>
  <c r="H1154" i="12" s="1"/>
  <c r="H1213" i="12"/>
  <c r="H1214" i="12" s="1"/>
  <c r="K1182" i="12"/>
  <c r="H1186" i="12"/>
  <c r="H1155" i="12"/>
  <c r="H1215" i="12"/>
  <c r="K1212" i="12"/>
  <c r="K1192" i="12"/>
  <c r="H1196" i="12"/>
  <c r="H1183" i="12"/>
  <c r="H1184" i="12" s="1"/>
  <c r="H1193" i="12"/>
  <c r="H1194" i="12" s="1"/>
  <c r="K1142" i="12"/>
  <c r="H1146" i="12"/>
  <c r="K1157" i="12"/>
  <c r="H1161" i="12"/>
  <c r="K1152" i="12"/>
  <c r="H1143" i="12"/>
  <c r="H1144" i="12" s="1"/>
  <c r="H1158" i="12"/>
  <c r="H1159" i="12" s="1"/>
  <c r="H1203" i="12"/>
  <c r="H1204" i="12" s="1"/>
  <c r="H1050" i="12"/>
  <c r="H1052" i="12"/>
  <c r="H1053" i="12" s="1"/>
  <c r="K1108" i="12"/>
  <c r="H1076" i="12"/>
  <c r="H1078" i="12"/>
  <c r="H1079" i="12" s="1"/>
  <c r="H1205" i="12"/>
  <c r="K1202" i="12"/>
  <c r="H1063" i="12"/>
  <c r="H1065" i="12"/>
  <c r="H1066" i="12" s="1"/>
  <c r="K1085" i="12"/>
  <c r="H1112" i="12"/>
  <c r="H1089" i="12"/>
  <c r="K1103" i="12"/>
  <c r="H1107" i="12"/>
  <c r="H1109" i="12"/>
  <c r="H1110" i="12" s="1"/>
  <c r="H1104" i="12"/>
  <c r="H1105" i="12" s="1"/>
  <c r="H1086" i="12"/>
  <c r="H1087" i="12" s="1"/>
  <c r="H1095" i="12"/>
  <c r="H1096" i="12" s="1"/>
  <c r="H1097" i="12"/>
  <c r="K1046" i="12"/>
  <c r="H1054" i="12"/>
  <c r="K1059" i="12"/>
  <c r="H1067" i="12"/>
  <c r="K1072" i="12"/>
  <c r="H1080" i="12"/>
  <c r="K1094" i="12"/>
  <c r="H1073" i="12"/>
  <c r="H1074" i="12" s="1"/>
  <c r="K1077" i="12"/>
  <c r="H1060" i="12"/>
  <c r="H1061" i="12" s="1"/>
  <c r="K1064" i="12"/>
  <c r="H1047" i="12"/>
  <c r="H1048" i="12" s="1"/>
  <c r="K1051" i="12"/>
  <c r="H1395" i="12"/>
  <c r="K1395" i="12" s="1"/>
  <c r="H31" i="12"/>
  <c r="H74" i="12"/>
  <c r="K74" i="12" s="1"/>
  <c r="H72" i="12"/>
  <c r="K72" i="12" s="1"/>
  <c r="H71" i="12"/>
  <c r="K71" i="12" s="1"/>
  <c r="H70" i="12"/>
  <c r="K70" i="12" s="1"/>
  <c r="H65" i="12"/>
  <c r="K65" i="12" s="1"/>
  <c r="L67" i="12" s="1"/>
  <c r="H60" i="12"/>
  <c r="K60" i="12" s="1"/>
  <c r="L62" i="12" s="1"/>
  <c r="H20" i="12"/>
  <c r="K20" i="12" s="1"/>
  <c r="H21" i="12"/>
  <c r="K21" i="12" s="1"/>
  <c r="H18" i="12"/>
  <c r="K18" i="12" s="1"/>
  <c r="H9" i="12"/>
  <c r="K9" i="12" s="1"/>
  <c r="J1683" i="12" l="1"/>
  <c r="K1683" i="12" s="1"/>
  <c r="J1676" i="12"/>
  <c r="K1676" i="12" s="1"/>
  <c r="J1662" i="12"/>
  <c r="K1662" i="12" s="1"/>
  <c r="J1613" i="12"/>
  <c r="K1613" i="12" s="1"/>
  <c r="J1607" i="12"/>
  <c r="K1607" i="12" s="1"/>
  <c r="J1600" i="12"/>
  <c r="K1600" i="12" s="1"/>
  <c r="J1691" i="12"/>
  <c r="K1691" i="12" s="1"/>
  <c r="J1669" i="12"/>
  <c r="K1669" i="12" s="1"/>
  <c r="J1655" i="12"/>
  <c r="K1655" i="12" s="1"/>
  <c r="J1641" i="12"/>
  <c r="K1641" i="12" s="1"/>
  <c r="J1634" i="12"/>
  <c r="K1634" i="12" s="1"/>
  <c r="J1620" i="12"/>
  <c r="K1620" i="12" s="1"/>
  <c r="J1706" i="12"/>
  <c r="K1706" i="12" s="1"/>
  <c r="J1700" i="12"/>
  <c r="K1700" i="12" s="1"/>
  <c r="J1627" i="12"/>
  <c r="K1627" i="12" s="1"/>
  <c r="J1648" i="12"/>
  <c r="K1648" i="12" s="1"/>
  <c r="L23" i="12"/>
  <c r="H52" i="12"/>
  <c r="K52" i="12" s="1"/>
  <c r="H51" i="12"/>
  <c r="K51" i="12" s="1"/>
  <c r="K31" i="12"/>
  <c r="L37" i="12" s="1"/>
  <c r="H1324" i="12"/>
  <c r="K1324" i="12" s="1"/>
  <c r="L1326" i="12" s="1"/>
  <c r="H1122" i="12"/>
  <c r="K1122" i="12" s="1"/>
  <c r="L1314" i="12" s="1"/>
  <c r="H122" i="12"/>
  <c r="K122" i="12" s="1"/>
  <c r="H123" i="12"/>
  <c r="K123" i="12" s="1"/>
  <c r="H128" i="12"/>
  <c r="K128" i="12" s="1"/>
  <c r="H127" i="12"/>
  <c r="K127" i="12" s="1"/>
  <c r="H126" i="12"/>
  <c r="K126" i="12" s="1"/>
  <c r="H125" i="12"/>
  <c r="K125" i="12" s="1"/>
  <c r="H124" i="12"/>
  <c r="K124" i="12" s="1"/>
  <c r="H121" i="12"/>
  <c r="K121" i="12" s="1"/>
  <c r="H116" i="12"/>
  <c r="K116" i="12" s="1"/>
  <c r="L118" i="12" s="1"/>
  <c r="K2092" i="12" l="1"/>
  <c r="K2093" i="12" s="1"/>
  <c r="L2091" i="12"/>
  <c r="L2092" i="12" s="1"/>
  <c r="L54" i="12"/>
  <c r="H81" i="12"/>
  <c r="K81" i="12" s="1"/>
  <c r="H1376" i="12"/>
  <c r="K1376" i="12" s="1"/>
  <c r="L83" i="12" l="1"/>
  <c r="H1396" i="12"/>
  <c r="K1396" i="12" s="1"/>
  <c r="H1393" i="12"/>
  <c r="K1393" i="12" s="1"/>
  <c r="L1385" i="12"/>
  <c r="H1389" i="12" l="1"/>
  <c r="K1389" i="12" s="1"/>
  <c r="L1398" i="12" l="1"/>
  <c r="H130" i="12" l="1"/>
  <c r="K130" i="12" s="1"/>
  <c r="L132" i="12" s="1"/>
  <c r="L1475" i="12" l="1"/>
  <c r="A7" i="12" l="1"/>
  <c r="A8" i="12" l="1"/>
  <c r="A9" i="12" s="1"/>
  <c r="H8" i="12"/>
  <c r="A16" i="12" l="1"/>
  <c r="A18" i="12" l="1"/>
  <c r="A20" i="12" s="1"/>
  <c r="K8" i="12"/>
  <c r="L11" i="12" s="1"/>
  <c r="A21" i="12" l="1"/>
  <c r="C5" i="12"/>
  <c r="A26" i="12" l="1"/>
  <c r="A31" i="12" l="1"/>
  <c r="A32" i="12" l="1"/>
  <c r="A35" i="12" s="1"/>
  <c r="A41" i="12" s="1"/>
  <c r="A46" i="12" s="1"/>
  <c r="A51" i="12" s="1"/>
  <c r="A52" i="12" s="1"/>
  <c r="A58" i="12" s="1"/>
  <c r="A59" i="12" s="1"/>
  <c r="A60" i="12" s="1"/>
  <c r="A65" i="12" s="1"/>
  <c r="A70" i="12" s="1"/>
  <c r="A71" i="12" s="1"/>
  <c r="A72" i="12" s="1"/>
  <c r="A73" i="12" s="1"/>
  <c r="A74" i="12" s="1"/>
  <c r="A75" i="12" s="1"/>
  <c r="A76" i="12" s="1"/>
  <c r="A77" i="12" s="1"/>
  <c r="A78" i="12" s="1"/>
  <c r="A79" i="12" s="1"/>
  <c r="A80" i="12" s="1"/>
  <c r="A81" i="12" s="1"/>
  <c r="A86" i="12" s="1"/>
  <c r="A87" i="12" s="1"/>
  <c r="A92" i="12" s="1"/>
  <c r="A99" i="12" s="1"/>
  <c r="A100" i="12" s="1"/>
  <c r="A101" i="12" s="1"/>
  <c r="A103" i="12" s="1"/>
  <c r="A104" i="12" s="1"/>
  <c r="A105" i="12" s="1"/>
  <c r="A107" i="12" s="1"/>
  <c r="A108" i="12" s="1"/>
  <c r="A110" i="12" s="1"/>
  <c r="A111" i="12" s="1"/>
  <c r="A112" i="12" s="1"/>
  <c r="A113" i="12" s="1"/>
  <c r="A114" i="12" s="1"/>
  <c r="A115" i="12" s="1"/>
  <c r="A116" i="12" s="1"/>
  <c r="A121" i="12" s="1"/>
  <c r="A122" i="12" s="1"/>
  <c r="A123" i="12" s="1"/>
  <c r="A124" i="12" s="1"/>
  <c r="A125" i="12" s="1"/>
  <c r="A126" i="12" s="1"/>
  <c r="A127" i="12" s="1"/>
  <c r="A128" i="12" s="1"/>
  <c r="A129" i="12" s="1"/>
  <c r="A130" i="12" s="1"/>
  <c r="A135" i="12" s="1"/>
  <c r="A143" i="12" s="1"/>
  <c r="A148" i="12" s="1"/>
  <c r="A149" i="12" s="1"/>
  <c r="A151" i="12" s="1"/>
  <c r="A155" i="12" s="1"/>
  <c r="A160" i="12" s="1"/>
  <c r="A165" i="12" s="1"/>
  <c r="A168" i="12" s="1"/>
  <c r="A173" i="12" s="1"/>
  <c r="A178" i="12" s="1"/>
  <c r="A181" i="12" s="1"/>
  <c r="A186" i="12" s="1"/>
  <c r="A187" i="12" s="1"/>
  <c r="A190" i="12" s="1"/>
  <c r="A195" i="12" s="1"/>
  <c r="A200" i="12" s="1"/>
  <c r="A201" i="12" s="1"/>
  <c r="A202" i="12" s="1"/>
  <c r="A205" i="12" s="1"/>
  <c r="A210" i="12" s="1"/>
  <c r="A211" i="12" s="1"/>
  <c r="A212" i="12" s="1"/>
  <c r="A215" i="12" s="1"/>
  <c r="A220" i="12" s="1"/>
  <c r="A225" i="12" s="1"/>
  <c r="A226" i="12" s="1"/>
  <c r="A227" i="12" s="1"/>
  <c r="A230" i="12" s="1"/>
  <c r="A235" i="12" s="1"/>
  <c r="A236" i="12" s="1"/>
  <c r="A237" i="12" s="1"/>
  <c r="A240" i="12" s="1"/>
  <c r="A245" i="12" s="1"/>
  <c r="A250" i="12" s="1"/>
  <c r="A251" i="12" s="1"/>
  <c r="A252" i="12" s="1"/>
  <c r="A255" i="12" s="1"/>
  <c r="A260" i="12" s="1"/>
  <c r="A265" i="12" s="1"/>
  <c r="A266" i="12" s="1"/>
  <c r="A267" i="12" s="1"/>
  <c r="A270" i="12" s="1"/>
  <c r="A275" i="12" s="1"/>
  <c r="A276" i="12" s="1"/>
  <c r="A277" i="12" s="1"/>
  <c r="A280" i="12" s="1"/>
  <c r="A285" i="12" s="1"/>
  <c r="A290" i="12" s="1"/>
  <c r="A291" i="12" s="1"/>
  <c r="A292" i="12" s="1"/>
  <c r="A295" i="12" s="1"/>
  <c r="A300" i="12" s="1"/>
  <c r="A305" i="12" s="1"/>
  <c r="A306" i="12" s="1"/>
  <c r="A308" i="12" s="1"/>
  <c r="A309" i="12" s="1"/>
  <c r="A312" i="12" s="1"/>
  <c r="A317" i="12" s="1"/>
  <c r="A322" i="12" s="1"/>
  <c r="A323" i="12" s="1"/>
  <c r="A325" i="12" s="1"/>
  <c r="A326" i="12" s="1"/>
  <c r="A329" i="12" s="1"/>
  <c r="A334" i="12" s="1"/>
  <c r="A335" i="12" s="1"/>
  <c r="A336" i="12" s="1"/>
  <c r="A339" i="12" s="1"/>
  <c r="A344" i="12" s="1"/>
  <c r="A345" i="12" s="1"/>
  <c r="A346" i="12" s="1"/>
  <c r="A349" i="12" s="1"/>
  <c r="A354" i="12" s="1"/>
  <c r="A359" i="12" s="1"/>
  <c r="A360" i="12" s="1"/>
  <c r="A362" i="12" s="1"/>
  <c r="A365" i="12" s="1"/>
  <c r="A370" i="12" s="1"/>
  <c r="A375" i="12" s="1"/>
  <c r="A376" i="12" s="1"/>
  <c r="A378" i="12" s="1"/>
  <c r="A381" i="12" s="1"/>
  <c r="A382" i="12" s="1"/>
  <c r="A387" i="12" s="1"/>
  <c r="A388" i="12" s="1"/>
  <c r="A390" i="12" s="1"/>
  <c r="A391" i="12" s="1"/>
  <c r="A394" i="12" s="1"/>
  <c r="A395" i="12" s="1"/>
  <c r="A400" i="12" s="1"/>
  <c r="A401" i="12" s="1"/>
  <c r="A403" i="12" s="1"/>
  <c r="A404" i="12" s="1"/>
  <c r="A407" i="12" s="1"/>
  <c r="A412" i="12" s="1"/>
  <c r="A413" i="12" s="1"/>
  <c r="A415" i="12" s="1"/>
  <c r="A418" i="12" s="1"/>
  <c r="A423" i="12" s="1"/>
  <c r="A428" i="12" s="1"/>
  <c r="A431" i="12" s="1"/>
  <c r="A436" i="12" s="1"/>
  <c r="A437" i="12" s="1"/>
  <c r="A439" i="12" s="1"/>
  <c r="A440" i="12" s="1"/>
  <c r="A441" i="12" s="1"/>
  <c r="A442" i="12" s="1"/>
  <c r="A445" i="12" s="1"/>
  <c r="A450" i="12" s="1"/>
  <c r="A451" i="12" s="1"/>
  <c r="A452" i="12" s="1"/>
  <c r="A455" i="12" s="1"/>
  <c r="A460" i="12" s="1"/>
  <c r="A461" i="12" s="1"/>
  <c r="A462" i="12" s="1"/>
  <c r="A466" i="12" s="1"/>
  <c r="A471" i="12" s="1"/>
  <c r="A476" i="12" s="1"/>
  <c r="A479" i="12" s="1"/>
  <c r="A484" i="12" s="1"/>
  <c r="A489" i="12" s="1"/>
  <c r="A492" i="12" s="1"/>
  <c r="A497" i="12" s="1"/>
  <c r="A502" i="12" s="1"/>
  <c r="A505" i="12" s="1"/>
  <c r="A510" i="12" s="1"/>
  <c r="A511" i="12" s="1"/>
  <c r="A514" i="12" s="1"/>
  <c r="A519" i="12" s="1"/>
  <c r="A520" i="12" s="1"/>
  <c r="A523" i="12" s="1"/>
  <c r="A528" i="12" s="1"/>
  <c r="A533" i="12" s="1"/>
  <c r="A534" i="12" s="1"/>
  <c r="A537" i="12" s="1"/>
  <c r="A542" i="12" s="1"/>
  <c r="A543" i="12" s="1"/>
  <c r="A544" i="12" s="1"/>
  <c r="A547" i="12" s="1"/>
  <c r="A552" i="12" s="1"/>
  <c r="A557" i="12" s="1"/>
  <c r="A558" i="12" s="1"/>
  <c r="A559" i="12" s="1"/>
  <c r="A562" i="12" s="1"/>
  <c r="A567" i="12" s="1"/>
  <c r="A568" i="12" s="1"/>
  <c r="A569" i="12" s="1"/>
  <c r="A572" i="12" s="1"/>
  <c r="A577" i="12" s="1"/>
  <c r="A582" i="12" s="1"/>
  <c r="A583" i="12" s="1"/>
  <c r="A584" i="12" s="1"/>
  <c r="A587" i="12" s="1"/>
  <c r="A592" i="12" s="1"/>
  <c r="A597" i="12" s="1"/>
  <c r="A598" i="12" s="1"/>
  <c r="A599" i="12" s="1"/>
  <c r="A602" i="12" s="1"/>
  <c r="A607" i="12" s="1"/>
  <c r="A608" i="12" s="1"/>
  <c r="A609" i="12" s="1"/>
  <c r="A612" i="12" s="1"/>
  <c r="A617" i="12" s="1"/>
  <c r="A618" i="12" s="1"/>
  <c r="A619" i="12" s="1"/>
  <c r="A622" i="12" s="1"/>
  <c r="A627" i="12" s="1"/>
  <c r="A628" i="12" s="1"/>
  <c r="A629" i="12" s="1"/>
  <c r="A632" i="12" s="1"/>
  <c r="A637" i="12" s="1"/>
  <c r="A642" i="12" s="1"/>
  <c r="A643" i="12" s="1"/>
  <c r="A644" i="12" s="1"/>
  <c r="A647" i="12" s="1"/>
  <c r="A652" i="12" s="1"/>
  <c r="A657" i="12" s="1"/>
  <c r="A658" i="12" s="1"/>
  <c r="A659" i="12" s="1"/>
  <c r="A662" i="12" s="1"/>
  <c r="A667" i="12" s="1"/>
  <c r="A668" i="12" s="1"/>
  <c r="A669" i="12" s="1"/>
  <c r="A672" i="12" s="1"/>
  <c r="A677" i="12" s="1"/>
  <c r="A682" i="12" s="1"/>
  <c r="A683" i="12" s="1"/>
  <c r="A684" i="12" s="1"/>
  <c r="A687" i="12" s="1"/>
  <c r="A692" i="12" s="1"/>
  <c r="A693" i="12" s="1"/>
  <c r="A694" i="12" s="1"/>
  <c r="A697" i="12" s="1"/>
  <c r="A702" i="12" s="1"/>
  <c r="A703" i="12" s="1"/>
  <c r="A704" i="12" s="1"/>
  <c r="A707" i="12" s="1"/>
  <c r="A712" i="12" s="1"/>
  <c r="A713" i="12" s="1"/>
  <c r="A715" i="12" s="1"/>
  <c r="A718" i="12" s="1"/>
  <c r="A723" i="12" s="1"/>
  <c r="A728" i="12" s="1"/>
  <c r="A731" i="12" s="1"/>
  <c r="A736" i="12" s="1"/>
  <c r="A737" i="12" s="1"/>
  <c r="A738" i="12" s="1"/>
  <c r="A741" i="12" s="1"/>
  <c r="A746" i="12" s="1"/>
  <c r="A747" i="12" s="1"/>
  <c r="A748" i="12" s="1"/>
  <c r="A751" i="12" s="1"/>
  <c r="A752" i="12" s="1"/>
  <c r="A756" i="12" s="1"/>
  <c r="A761" i="12" s="1"/>
  <c r="A766" i="12" s="1"/>
  <c r="A769" i="12" s="1"/>
  <c r="A774" i="12" s="1"/>
  <c r="A779" i="12" s="1"/>
  <c r="A782" i="12" s="1"/>
  <c r="A787" i="12" s="1"/>
  <c r="A792" i="12" s="1"/>
  <c r="A795" i="12" s="1"/>
  <c r="A800" i="12" s="1"/>
  <c r="A801" i="12" s="1"/>
  <c r="A804" i="12" s="1"/>
  <c r="A809" i="12" s="1"/>
  <c r="A810" i="12" s="1"/>
  <c r="A813" i="12" s="1"/>
  <c r="A818" i="12" s="1"/>
  <c r="A823" i="12" s="1"/>
  <c r="A824" i="12" s="1"/>
  <c r="A827" i="12" s="1"/>
  <c r="A832" i="12" s="1"/>
  <c r="A833" i="12" s="1"/>
  <c r="A834" i="12" s="1"/>
  <c r="A837" i="12" s="1"/>
  <c r="A842" i="12" s="1"/>
  <c r="A847" i="12" s="1"/>
  <c r="A848" i="12" s="1"/>
  <c r="A849" i="12" s="1"/>
  <c r="A852" i="12" s="1"/>
  <c r="A857" i="12" s="1"/>
  <c r="A858" i="12" s="1"/>
  <c r="A859" i="12" s="1"/>
  <c r="A862" i="12" s="1"/>
  <c r="A867" i="12" s="1"/>
  <c r="A872" i="12" s="1"/>
  <c r="A873" i="12" s="1"/>
  <c r="A874" i="12" s="1"/>
  <c r="A877" i="12" s="1"/>
  <c r="A882" i="12" s="1"/>
  <c r="A887" i="12" s="1"/>
  <c r="A888" i="12" s="1"/>
  <c r="A889" i="12" s="1"/>
  <c r="A892" i="12" s="1"/>
  <c r="A897" i="12" s="1"/>
  <c r="A898" i="12" s="1"/>
  <c r="A899" i="12" s="1"/>
  <c r="A902" i="12" s="1"/>
  <c r="A907" i="12" s="1"/>
  <c r="A908" i="12" s="1"/>
  <c r="A909" i="12" s="1"/>
  <c r="A912" i="12" s="1"/>
  <c r="A917" i="12" s="1"/>
  <c r="A918" i="12" s="1"/>
  <c r="A919" i="12" s="1"/>
  <c r="A922" i="12" s="1"/>
  <c r="A927" i="12" s="1"/>
  <c r="A932" i="12" s="1"/>
  <c r="A933" i="12" s="1"/>
  <c r="A934" i="12" s="1"/>
  <c r="A937" i="12" s="1"/>
  <c r="A942" i="12" s="1"/>
  <c r="A947" i="12" s="1"/>
  <c r="A948" i="12" s="1"/>
  <c r="A949" i="12" s="1"/>
  <c r="A952" i="12" s="1"/>
  <c r="A957" i="12" s="1"/>
  <c r="A958" i="12" s="1"/>
  <c r="A959" i="12" s="1"/>
  <c r="A962" i="12" s="1"/>
  <c r="A967" i="12" s="1"/>
  <c r="A972" i="12" s="1"/>
  <c r="A973" i="12" s="1"/>
  <c r="A974" i="12" s="1"/>
  <c r="A977" i="12" s="1"/>
  <c r="A982" i="12" s="1"/>
  <c r="A983" i="12" s="1"/>
  <c r="A984" i="12" s="1"/>
  <c r="A987" i="12" s="1"/>
  <c r="A992" i="12" s="1"/>
  <c r="A993" i="12" s="1"/>
  <c r="A994" i="12" s="1"/>
  <c r="A997" i="12" s="1"/>
  <c r="A1002" i="12" s="1"/>
  <c r="A1003" i="12" s="1"/>
  <c r="A1005" i="12" s="1"/>
  <c r="A1008" i="12" s="1"/>
  <c r="A1013" i="12" s="1"/>
  <c r="A1018" i="12" s="1"/>
  <c r="A1021" i="12" s="1"/>
  <c r="A1026" i="12" s="1"/>
  <c r="A1027" i="12" s="1"/>
  <c r="A1028" i="12" s="1"/>
  <c r="A1031" i="12" s="1"/>
  <c r="A1036" i="12" s="1"/>
  <c r="A1037" i="12" s="1"/>
  <c r="A1038" i="12" s="1"/>
  <c r="A1041" i="12" s="1"/>
  <c r="A1042" i="12" s="1"/>
  <c r="A1046" i="12" s="1"/>
  <c r="A1051" i="12" s="1"/>
  <c r="A1056" i="12" s="1"/>
  <c r="A1059" i="12" s="1"/>
  <c r="A1064" i="12" s="1"/>
  <c r="A1069" i="12" s="1"/>
  <c r="A1072" i="12" s="1"/>
  <c r="A1077" i="12" s="1"/>
  <c r="A1082" i="12" s="1"/>
  <c r="A1085" i="12" s="1"/>
  <c r="A1090" i="12" s="1"/>
  <c r="A1091" i="12" s="1"/>
  <c r="A1094" i="12" s="1"/>
  <c r="A1099" i="12" s="1"/>
  <c r="A1100" i="12" s="1"/>
  <c r="A1103" i="12" s="1"/>
  <c r="A1108" i="12" s="1"/>
  <c r="A1113" i="12" s="1"/>
  <c r="A1114" i="12" s="1"/>
  <c r="A1117" i="12" s="1"/>
  <c r="A1122" i="12" s="1"/>
  <c r="A1123" i="12" s="1"/>
  <c r="A1124" i="12" s="1"/>
  <c r="A1127" i="12" s="1"/>
  <c r="A1132" i="12" s="1"/>
  <c r="A1137" i="12" s="1"/>
  <c r="A1138" i="12" s="1"/>
  <c r="A1139" i="12" s="1"/>
  <c r="A1142" i="12" s="1"/>
  <c r="A1147" i="12" s="1"/>
  <c r="A1148" i="12" s="1"/>
  <c r="A1149" i="12" s="1"/>
  <c r="A1152" i="12" s="1"/>
  <c r="A1157" i="12" s="1"/>
  <c r="A1162" i="12" s="1"/>
  <c r="A1163" i="12" s="1"/>
  <c r="A1164" i="12" s="1"/>
  <c r="A1167" i="12" s="1"/>
  <c r="A1172" i="12" s="1"/>
  <c r="A1177" i="12" s="1"/>
  <c r="A1178" i="12" s="1"/>
  <c r="A1179" i="12" s="1"/>
  <c r="A1182" i="12" s="1"/>
  <c r="A1187" i="12" s="1"/>
  <c r="A1188" i="12" s="1"/>
  <c r="A1189" i="12" s="1"/>
  <c r="A1192" i="12" s="1"/>
  <c r="A1197" i="12" s="1"/>
  <c r="A1198" i="12" s="1"/>
  <c r="A1199" i="12" s="1"/>
  <c r="A1202" i="12" s="1"/>
  <c r="A1207" i="12" s="1"/>
  <c r="A1208" i="12" s="1"/>
  <c r="A1209" i="12" s="1"/>
  <c r="A1212" i="12" s="1"/>
  <c r="A1217" i="12" s="1"/>
  <c r="A1218" i="12" s="1"/>
  <c r="A1219" i="12" s="1"/>
  <c r="A1222" i="12" s="1"/>
  <c r="A1227" i="12" s="1"/>
  <c r="A1228" i="12" s="1"/>
  <c r="A1230" i="12" s="1"/>
  <c r="A1231" i="12" s="1"/>
  <c r="A1234" i="12" s="1"/>
  <c r="A1239" i="12" s="1"/>
  <c r="A1240" i="12" s="1"/>
  <c r="A1241" i="12" s="1"/>
  <c r="A1244" i="12" s="1"/>
  <c r="A1249" i="12" s="1"/>
  <c r="A1250" i="12" s="1"/>
  <c r="A1252" i="12" s="1"/>
  <c r="A1255" i="12" s="1"/>
  <c r="A1260" i="12" s="1"/>
  <c r="A1265" i="12" s="1"/>
  <c r="A1268" i="12" s="1"/>
  <c r="A1273" i="12" s="1"/>
  <c r="A1274" i="12" s="1"/>
  <c r="A1275" i="12" s="1"/>
  <c r="A1278" i="12" s="1"/>
  <c r="A1283" i="12" s="1"/>
  <c r="A1284" i="12" s="1"/>
  <c r="A1285" i="12" s="1"/>
  <c r="A1288" i="12" s="1"/>
  <c r="A1289" i="12" s="1"/>
  <c r="A1293" i="12" s="1"/>
  <c r="A1298" i="12" s="1"/>
  <c r="A1301" i="12" s="1"/>
  <c r="A1306" i="12" s="1"/>
  <c r="A1307" i="12" s="1"/>
  <c r="A1308" i="12" s="1"/>
  <c r="A1311" i="12" s="1"/>
  <c r="A1312" i="12" s="1"/>
  <c r="A1317" i="12" s="1"/>
  <c r="A1318" i="12" s="1"/>
  <c r="A1319" i="12" s="1"/>
  <c r="A1320" i="12" s="1"/>
  <c r="A1321" i="12" s="1"/>
  <c r="A1322" i="12" s="1"/>
  <c r="A1323" i="12" s="1"/>
  <c r="A1324" i="12" s="1"/>
  <c r="A1329" i="12" s="1"/>
  <c r="A1334" i="12" s="1"/>
  <c r="A1335" i="12" s="1"/>
  <c r="A1336" i="12" s="1"/>
  <c r="A1341" i="12" s="1"/>
  <c r="A1346" i="12" s="1"/>
  <c r="A1347" i="12" s="1"/>
  <c r="A1352" i="12" s="1"/>
  <c r="A1357" i="12" s="1"/>
  <c r="A1358" i="12" s="1"/>
  <c r="A1363" i="12" s="1"/>
  <c r="A1368" i="12" s="1"/>
  <c r="A1374" i="12" s="1"/>
  <c r="A1375" i="12" s="1"/>
  <c r="A1376" i="12" s="1"/>
  <c r="A1377" i="12" s="1"/>
  <c r="A1378" i="12" s="1"/>
  <c r="A1379" i="12" s="1"/>
  <c r="A1380" i="12" s="1"/>
  <c r="A1382" i="12" s="1"/>
  <c r="A1383" i="12" s="1"/>
  <c r="A1389" i="12" s="1"/>
  <c r="A1390" i="12" s="1"/>
  <c r="A1392" i="12" s="1"/>
  <c r="A1393" i="12" s="1"/>
  <c r="A1395" i="12" s="1"/>
  <c r="A1396" i="12" s="1"/>
  <c r="A1402" i="12" s="1"/>
  <c r="A1403" i="12" s="1"/>
  <c r="A1404" i="12" s="1"/>
  <c r="A1405" i="12" s="1"/>
  <c r="A1406" i="12" s="1"/>
  <c r="A1407" i="12" s="1"/>
  <c r="A1408" i="12" s="1"/>
  <c r="A1409" i="12" s="1"/>
  <c r="A1410" i="12" s="1"/>
  <c r="A1411" i="12" s="1"/>
  <c r="A1412" i="12" s="1"/>
  <c r="A1413" i="12" s="1"/>
  <c r="A1418" i="12" s="1"/>
  <c r="A1423" i="12" s="1"/>
  <c r="A1428" i="12" s="1"/>
  <c r="A1429" i="12" s="1"/>
  <c r="A1430" i="12" s="1"/>
  <c r="A1431" i="12" s="1"/>
  <c r="A1432" i="12" s="1"/>
  <c r="A1433" i="12" s="1"/>
  <c r="A1434" i="12" s="1"/>
  <c r="A1435" i="12" s="1"/>
  <c r="A1440" i="12" s="1"/>
  <c r="A1445" i="12" s="1"/>
  <c r="A1450" i="12" s="1"/>
  <c r="A1451" i="12" s="1"/>
  <c r="A1452" i="12" s="1"/>
  <c r="A1453" i="12" s="1"/>
  <c r="A1454" i="12" s="1"/>
  <c r="A1455" i="12" s="1"/>
  <c r="A1456" i="12" s="1"/>
  <c r="A1457" i="12" s="1"/>
  <c r="A1458" i="12" s="1"/>
  <c r="A1459" i="12" s="1"/>
  <c r="A1460" i="12" s="1"/>
  <c r="A1466" i="12" s="1"/>
  <c r="A1467" i="12" s="1"/>
  <c r="A1468" i="12" s="1"/>
  <c r="A1469" i="12" s="1"/>
  <c r="A1470" i="12" s="1"/>
  <c r="A1471" i="12" s="1"/>
  <c r="A1472" i="12" s="1"/>
  <c r="A1473" i="12" s="1"/>
  <c r="A1479" i="12" s="1"/>
  <c r="A1482" i="12" s="1"/>
  <c r="A1483" i="12" s="1"/>
  <c r="A1484" i="12" s="1"/>
  <c r="A1485" i="12" s="1"/>
  <c r="A1486" i="12" s="1"/>
  <c r="A1487" i="12" s="1"/>
  <c r="A1488" i="12" s="1"/>
  <c r="A1489" i="12" s="1"/>
  <c r="A1492" i="12" s="1"/>
  <c r="A1493" i="12" s="1"/>
  <c r="A1494" i="12" s="1"/>
  <c r="A1495" i="12" s="1"/>
  <c r="A1496" i="12" s="1"/>
  <c r="A1499" i="12" s="1"/>
  <c r="A1502" i="12" s="1"/>
  <c r="A1503" i="12" s="1"/>
  <c r="A1509" i="12" s="1"/>
  <c r="A1514" i="12" s="1"/>
  <c r="A1519" i="12" l="1"/>
  <c r="A1520" i="12" s="1"/>
  <c r="A2399" i="12"/>
  <c r="A2586" i="12"/>
  <c r="A1788" i="12"/>
  <c r="A2435" i="12"/>
  <c r="A2078" i="12"/>
  <c r="A1680" i="12"/>
  <c r="A2166" i="12"/>
  <c r="A2715" i="12"/>
  <c r="A2383" i="12"/>
  <c r="A2141" i="12"/>
  <c r="A2644" i="12"/>
  <c r="A2167" i="12"/>
  <c r="A2521" i="12"/>
  <c r="A1719" i="12"/>
  <c r="A1541" i="12"/>
  <c r="A1912" i="12"/>
  <c r="A2675" i="12"/>
  <c r="A2203" i="12"/>
  <c r="A1807" i="12"/>
  <c r="A2654" i="12"/>
  <c r="A1694" i="12"/>
  <c r="A2649" i="12"/>
  <c r="A1794" i="12"/>
  <c r="A1913" i="12"/>
  <c r="A1864" i="12"/>
  <c r="A2465" i="12"/>
  <c r="A2459" i="12"/>
  <c r="A1856" i="12"/>
  <c r="A1637" i="12"/>
  <c r="A2603" i="12"/>
  <c r="A2061" i="12"/>
  <c r="A2067" i="12"/>
  <c r="A2616" i="12"/>
  <c r="A2541" i="12"/>
  <c r="A1613" i="12"/>
  <c r="A1850" i="12"/>
  <c r="A1743" i="12"/>
  <c r="A2692" i="12"/>
  <c r="A2545" i="12"/>
  <c r="A2695" i="12"/>
  <c r="A2530" i="12"/>
  <c r="A2698" i="12"/>
  <c r="A2177" i="12"/>
  <c r="A1946" i="12"/>
  <c r="A1935" i="12"/>
  <c r="A1658" i="12"/>
  <c r="A1890" i="12"/>
  <c r="A2633" i="12"/>
  <c r="A2037" i="12"/>
  <c r="A2767" i="12"/>
  <c r="A2343" i="12"/>
  <c r="A2365" i="12"/>
  <c r="A1707" i="12"/>
  <c r="A1752" i="12"/>
  <c r="A2404" i="12"/>
  <c r="A2265" i="12"/>
  <c r="A2242" i="12"/>
  <c r="A2520" i="12"/>
  <c r="A2558" i="12"/>
  <c r="A2293" i="12"/>
  <c r="A1846" i="12"/>
  <c r="A1588" i="12"/>
  <c r="A2086" i="12"/>
  <c r="A2636" i="12"/>
  <c r="A2762" i="12"/>
  <c r="A1655" i="12"/>
  <c r="A2653" i="12"/>
  <c r="A2598" i="12"/>
  <c r="A2154" i="12"/>
  <c r="A2772" i="12"/>
  <c r="A1810" i="12"/>
  <c r="A2324" i="12"/>
  <c r="A2571" i="12"/>
  <c r="A1841" i="12"/>
  <c r="A2232" i="12"/>
  <c r="A2620" i="12"/>
  <c r="A1928" i="12"/>
  <c r="A2123" i="12"/>
  <c r="A1573" i="12"/>
  <c r="A2158" i="12"/>
  <c r="A2118" i="12"/>
  <c r="A2409" i="12"/>
  <c r="A1976" i="12"/>
  <c r="A2336" i="12"/>
  <c r="A1837" i="12"/>
  <c r="A1833" i="12"/>
  <c r="A2765" i="12"/>
  <c r="A1705" i="12"/>
  <c r="A2345" i="12"/>
  <c r="A2184" i="12"/>
  <c r="A1791" i="12"/>
  <c r="A2164" i="12"/>
  <c r="A2718" i="12"/>
  <c r="A1938" i="12"/>
  <c r="A1715" i="12"/>
  <c r="A2421" i="12"/>
  <c r="A1601" i="12"/>
  <c r="A1693" i="12"/>
  <c r="A2493" i="12"/>
  <c r="A2364" i="12"/>
  <c r="A1849" i="12"/>
  <c r="A1986" i="12"/>
  <c r="A1683" i="12"/>
  <c r="A2497" i="12"/>
  <c r="A2591" i="12"/>
  <c r="A1782" i="12"/>
  <c r="A2528" i="12"/>
  <c r="A1981" i="12"/>
  <c r="A1620" i="12"/>
  <c r="A2626" i="12"/>
  <c r="A2220" i="12"/>
  <c r="A2412" i="12"/>
  <c r="A1682" i="12"/>
  <c r="A1771" i="12"/>
  <c r="A2262" i="12"/>
  <c r="A1806" i="12"/>
  <c r="A2691" i="12"/>
  <c r="A2706" i="12"/>
  <c r="A2015" i="12"/>
  <c r="A1910" i="12"/>
  <c r="A1811" i="12"/>
  <c r="A2393" i="12"/>
  <c r="A2052" i="12"/>
  <c r="A2039" i="12"/>
  <c r="A2178" i="12"/>
  <c r="A1729" i="12"/>
  <c r="A2076" i="12"/>
  <c r="A1604" i="12"/>
  <c r="A1610" i="12"/>
  <c r="A2593" i="12"/>
  <c r="A2312" i="12"/>
  <c r="A1842" i="12"/>
  <c r="A2413" i="12"/>
  <c r="A2704" i="12"/>
  <c r="A2102" i="12"/>
  <c r="A1712" i="12"/>
  <c r="A1576" i="12"/>
  <c r="A2453" i="12"/>
  <c r="A2627" i="12"/>
  <c r="A1621" i="12"/>
  <c r="A2547" i="12"/>
  <c r="A2436" i="12"/>
  <c r="A2761" i="12"/>
  <c r="A2681" i="12"/>
  <c r="A2752" i="12"/>
  <c r="A2498" i="12"/>
  <c r="A2320" i="12"/>
  <c r="A2455" i="12"/>
  <c r="A1972" i="12"/>
  <c r="A1671" i="12"/>
  <c r="A1564" i="12"/>
  <c r="A2422" i="12"/>
  <c r="A1642" i="12"/>
  <c r="A2634" i="12"/>
  <c r="A2641" i="12"/>
  <c r="A2589" i="12"/>
  <c r="A1569" i="12"/>
  <c r="A1578" i="12"/>
  <c r="A2047" i="12"/>
  <c r="A2075" i="12"/>
  <c r="A1903" i="12"/>
  <c r="A1759" i="12"/>
  <c r="A1845" i="12"/>
  <c r="A2020" i="12"/>
  <c r="A2329" i="12"/>
  <c r="A2687" i="12"/>
  <c r="A2731" i="12"/>
  <c r="A1538" i="12"/>
  <c r="A2051" i="12"/>
  <c r="A2390" i="12"/>
  <c r="A2628" i="12"/>
  <c r="A2156" i="12"/>
  <c r="A2033" i="12"/>
  <c r="A2699" i="12"/>
  <c r="A1740" i="12"/>
  <c r="A2173" i="12"/>
  <c r="A2682" i="12"/>
  <c r="A2342" i="12"/>
  <c r="A2023" i="12"/>
  <c r="A2187" i="12"/>
  <c r="A2640" i="12"/>
  <c r="A1895" i="12"/>
  <c r="A2029" i="12"/>
  <c r="A2758" i="12"/>
  <c r="A2254" i="12"/>
  <c r="A1881" i="12"/>
  <c r="A2674" i="12"/>
  <c r="A1830" i="12"/>
  <c r="A2058" i="12"/>
  <c r="A1863" i="12"/>
  <c r="A1947" i="12"/>
  <c r="A2476" i="12"/>
  <c r="A2423" i="12"/>
  <c r="A1695" i="12"/>
  <c r="A2575" i="12"/>
  <c r="A2275" i="12"/>
  <c r="A2499" i="12"/>
  <c r="A1585" i="12"/>
  <c r="A1921" i="12"/>
  <c r="A2113" i="12"/>
  <c r="A1940" i="12"/>
  <c r="A1952" i="12"/>
  <c r="A1924" i="12"/>
  <c r="A2044" i="12"/>
  <c r="A2477" i="12"/>
  <c r="A2370" i="12"/>
  <c r="A2163" i="12"/>
  <c r="A2202" i="12"/>
  <c r="A2503" i="12"/>
  <c r="A2162" i="12"/>
  <c r="A1574" i="12"/>
  <c r="A2766" i="12"/>
  <c r="A1686" i="12"/>
  <c r="A1847" i="12"/>
  <c r="A2725" i="12"/>
  <c r="A2411" i="12"/>
  <c r="A2753" i="12"/>
  <c r="A2467" i="12"/>
  <c r="A2602" i="12"/>
  <c r="A1746" i="12"/>
  <c r="A2286" i="12"/>
  <c r="A2672" i="12"/>
  <c r="A2006" i="12"/>
  <c r="A1750" i="12"/>
  <c r="A2369" i="12"/>
  <c r="A2579" i="12"/>
  <c r="A1739" i="12"/>
  <c r="A2197" i="12"/>
  <c r="A1670" i="12"/>
  <c r="A1816" i="12"/>
  <c r="A1535" i="12"/>
  <c r="A2458" i="12"/>
  <c r="A2671" i="12"/>
  <c r="A1919" i="12"/>
  <c r="A2755" i="12"/>
  <c r="A2223" i="12"/>
  <c r="A2517" i="12"/>
  <c r="A1870" i="12"/>
  <c r="A1859" i="12"/>
  <c r="A1629" i="12"/>
  <c r="A1877" i="12"/>
  <c r="A2428" i="12"/>
  <c r="A2491" i="12"/>
  <c r="A1967" i="12"/>
  <c r="A2303" i="12"/>
  <c r="A2440" i="12"/>
  <c r="A1563" i="12"/>
  <c r="A1780" i="12"/>
  <c r="A2751" i="12"/>
  <c r="A1891" i="12"/>
  <c r="A1851" i="12"/>
  <c r="A2363" i="12"/>
  <c r="A2182" i="12"/>
  <c r="A2016" i="12"/>
  <c r="A1690" i="12"/>
  <c r="A2064" i="12"/>
  <c r="A2384" i="12"/>
  <c r="A1998" i="12"/>
  <c r="A2245" i="12"/>
  <c r="A1607" i="12"/>
  <c r="A2662" i="12"/>
  <c r="A2206" i="12"/>
  <c r="A1950" i="12"/>
  <c r="A1617" i="12"/>
  <c r="A1885" i="12"/>
  <c r="A2109" i="12"/>
  <c r="A2711" i="12"/>
  <c r="A2191" i="12"/>
  <c r="A1733" i="12"/>
  <c r="A2169" i="12"/>
  <c r="A2468" i="12"/>
  <c r="A1828" i="12"/>
  <c r="A1757" i="12"/>
  <c r="A2572" i="12"/>
  <c r="A1763" i="12"/>
  <c r="A2271" i="12"/>
  <c r="A2556" i="12"/>
  <c r="A2038" i="12"/>
  <c r="A1979" i="12"/>
  <c r="A2212" i="12"/>
  <c r="A1932" i="12"/>
  <c r="A1790" i="12"/>
  <c r="A2405" i="12"/>
  <c r="A2157" i="12"/>
  <c r="A2300" i="12"/>
  <c r="A1858" i="12"/>
  <c r="A2680" i="12"/>
  <c r="A1606" i="12"/>
  <c r="A2295" i="12"/>
  <c r="A2446" i="12"/>
  <c r="A2470" i="12"/>
  <c r="A2040" i="12"/>
  <c r="A2063" i="12"/>
  <c r="A2536" i="12"/>
  <c r="A2353" i="12"/>
  <c r="A2690" i="12"/>
  <c r="A1676" i="12"/>
  <c r="A2447" i="12"/>
  <c r="A2222" i="12"/>
  <c r="A2432" i="12"/>
  <c r="A2754" i="12"/>
  <c r="A1969" i="12"/>
  <c r="A2763" i="12"/>
  <c r="A1595" i="12"/>
  <c r="A2221" i="12"/>
  <c r="A2380" i="12"/>
  <c r="A2610" i="12"/>
  <c r="A1818" i="12"/>
  <c r="A2623" i="12"/>
  <c r="A2726" i="12"/>
  <c r="A2028" i="12"/>
  <c r="A2534" i="12"/>
  <c r="A1664" i="12"/>
  <c r="A1753" i="12"/>
  <c r="A1871" i="12"/>
  <c r="A2557" i="12"/>
  <c r="A1769" i="12"/>
  <c r="A1774" i="12"/>
  <c r="A1751" i="12"/>
  <c r="A2448" i="12"/>
  <c r="A2305" i="12"/>
  <c r="A2770" i="12"/>
  <c r="A2195" i="12"/>
  <c r="A1691" i="12"/>
  <c r="A2437" i="12"/>
  <c r="A2175" i="12"/>
  <c r="A2000" i="12"/>
  <c r="A1684" i="12"/>
  <c r="A2617" i="12"/>
  <c r="A1878" i="12"/>
  <c r="A2143" i="12"/>
  <c r="A1809" i="12"/>
  <c r="A1907" i="12"/>
  <c r="A1726" i="12"/>
  <c r="A2504" i="12"/>
  <c r="A2549" i="12"/>
  <c r="A1887" i="12"/>
  <c r="A2585" i="12"/>
  <c r="A1796" i="12"/>
  <c r="A1778" i="12"/>
  <c r="A2277" i="12"/>
  <c r="A1641" i="12"/>
  <c r="A1549" i="12"/>
  <c r="A1879" i="12"/>
  <c r="A1835" i="12"/>
  <c r="A2416" i="12"/>
  <c r="A1991" i="12"/>
  <c r="A2131" i="12"/>
  <c r="A2071" i="12"/>
  <c r="A2021" i="12"/>
  <c r="A1659" i="12"/>
  <c r="A2361" i="12"/>
  <c r="A1565" i="12"/>
  <c r="A2250" i="12"/>
  <c r="A1643" i="12"/>
  <c r="A2635" i="12"/>
  <c r="A1536" i="12"/>
  <c r="A1724" i="12"/>
  <c r="A2538" i="12"/>
  <c r="A2578" i="12"/>
  <c r="A2108" i="12"/>
  <c r="A1623" i="12"/>
  <c r="A2555" i="12"/>
  <c r="A2397" i="12"/>
  <c r="A1545" i="12"/>
  <c r="A1977" i="12"/>
  <c r="A2024" i="12"/>
  <c r="A1678" i="12"/>
  <c r="A1628" i="12"/>
  <c r="A1785" i="12"/>
  <c r="A2406" i="12"/>
  <c r="A1896" i="12"/>
  <c r="A1943" i="12"/>
  <c r="A2176" i="12"/>
  <c r="A2013" i="12"/>
  <c r="A1651" i="12"/>
  <c r="A2149" i="12"/>
  <c r="A2107" i="12"/>
  <c r="A1649" i="12"/>
  <c r="A2485" i="12"/>
  <c r="A1685" i="12"/>
  <c r="A2651" i="12"/>
  <c r="A2243" i="12"/>
  <c r="A1634" i="12"/>
  <c r="A2152" i="12"/>
  <c r="A1560" i="12"/>
  <c r="A2648" i="12"/>
  <c r="A2382" i="12"/>
  <c r="A2289" i="12"/>
  <c r="A2230" i="12"/>
  <c r="A2560" i="12"/>
  <c r="A2539" i="12"/>
  <c r="A2454" i="12"/>
  <c r="A1786" i="12"/>
  <c r="A1802" i="12"/>
  <c r="A1826" i="12"/>
  <c r="A2601" i="12"/>
  <c r="A1633" i="12"/>
  <c r="A2072" i="12"/>
  <c r="A2757" i="12"/>
  <c r="A1737" i="12"/>
  <c r="A2655" i="12"/>
  <c r="A2685" i="12"/>
  <c r="A1626" i="12"/>
  <c r="A1773" i="12"/>
  <c r="A2349" i="12"/>
  <c r="A2475" i="12"/>
  <c r="A1941" i="12"/>
  <c r="A2264" i="12"/>
  <c r="A2600" i="12"/>
  <c r="A1666" i="12"/>
  <c r="A2089" i="12"/>
  <c r="A1901" i="12"/>
  <c r="A1662" i="12"/>
  <c r="A2294" i="12"/>
  <c r="A2438" i="12"/>
  <c r="A1537" i="12"/>
  <c r="A2670" i="12"/>
  <c r="A2077" i="12"/>
  <c r="A2106" i="12"/>
  <c r="A1775" i="12"/>
  <c r="A2316" i="12"/>
  <c r="A1990" i="12"/>
  <c r="A2708" i="12"/>
  <c r="A2592" i="12"/>
  <c r="A1918" i="12"/>
  <c r="A1594" i="12"/>
  <c r="A2638" i="12"/>
  <c r="A1702" i="12"/>
  <c r="A2647" i="12"/>
  <c r="A2669" i="12"/>
  <c r="A1748" i="12"/>
  <c r="A2759" i="12"/>
  <c r="A2702" i="12"/>
  <c r="A1996" i="12"/>
  <c r="A1648" i="12"/>
  <c r="A2490" i="12"/>
  <c r="A1663" i="12"/>
  <c r="A2561" i="12"/>
  <c r="A1711" i="12"/>
  <c r="A1755" i="12"/>
  <c r="A1804" i="12"/>
  <c r="A2716" i="12"/>
  <c r="A2155" i="12"/>
  <c r="A2168" i="12"/>
  <c r="A2360" i="12"/>
  <c r="A1857" i="12"/>
  <c r="A2193" i="12"/>
  <c r="A2005" i="12"/>
  <c r="A1721" i="12"/>
  <c r="A2231" i="12"/>
  <c r="A2256" i="12"/>
  <c r="A1819" i="12"/>
  <c r="A2466" i="12"/>
  <c r="A1701" i="12"/>
  <c r="A2301" i="12"/>
  <c r="A1832" i="12"/>
  <c r="A2764" i="12"/>
  <c r="A1797" i="12"/>
  <c r="A2478" i="12"/>
  <c r="A2306" i="12"/>
  <c r="A1603" i="12"/>
  <c r="A1602" i="12"/>
  <c r="A1914" i="12"/>
  <c r="A1742" i="12"/>
  <c r="A2472" i="12"/>
  <c r="A2574" i="12"/>
  <c r="A2053" i="12"/>
  <c r="A1722" i="12"/>
  <c r="A2580" i="12"/>
  <c r="A1779" i="12"/>
  <c r="A1696" i="12"/>
  <c r="A2368" i="12"/>
  <c r="A2165" i="12"/>
  <c r="A1953" i="12"/>
  <c r="A1557" i="12"/>
  <c r="A2068" i="12"/>
  <c r="A2276" i="12"/>
  <c r="A1813" i="12"/>
  <c r="A1636" i="12"/>
  <c r="A1673" i="12"/>
  <c r="A2639" i="12"/>
  <c r="A1749" i="12"/>
  <c r="A1768" i="12"/>
  <c r="A2710" i="12"/>
  <c r="A2082" i="12"/>
  <c r="A1665" i="12"/>
  <c r="A1980" i="12"/>
  <c r="A2420" i="12"/>
  <c r="A1558" i="12"/>
  <c r="A1638" i="12"/>
  <c r="A1553" i="12"/>
  <c r="A2652" i="12"/>
  <c r="A2713" i="12"/>
  <c r="A2099" i="12"/>
  <c r="A2362" i="12"/>
  <c r="A2374" i="12"/>
  <c r="A2080" i="12"/>
  <c r="A1622" i="12"/>
  <c r="A1579" i="12"/>
  <c r="A2317" i="12"/>
  <c r="A2088" i="12"/>
  <c r="A1853" i="12"/>
  <c r="A2323" i="12"/>
  <c r="A1908" i="12"/>
  <c r="A2506" i="12"/>
  <c r="A2003" i="12"/>
  <c r="A1770" i="12"/>
  <c r="A2502" i="12"/>
  <c r="A2285" i="12"/>
  <c r="A1723" i="12"/>
  <c r="A1556" i="12"/>
  <c r="A1959" i="12"/>
  <c r="A2214" i="12"/>
  <c r="A1543" i="12"/>
  <c r="A2042" i="12"/>
  <c r="A1600" i="12"/>
  <c r="A2582" i="12"/>
  <c r="A1884" i="12"/>
  <c r="A2022" i="12"/>
  <c r="A2514" i="12"/>
  <c r="A2516" i="12"/>
  <c r="A2548" i="12"/>
  <c r="A2192" i="12"/>
  <c r="A1580" i="12"/>
  <c r="A1838" i="12"/>
  <c r="A1713" i="12"/>
  <c r="A2712" i="12"/>
  <c r="A2445" i="12"/>
  <c r="A1765" i="12"/>
  <c r="A2629" i="12"/>
  <c r="A2287" i="12"/>
  <c r="A2129" i="12"/>
  <c r="A2027" i="12"/>
  <c r="A1741" i="12"/>
  <c r="A2612" i="12"/>
  <c r="A1559" i="12"/>
  <c r="A1800" i="12"/>
  <c r="A2302" i="12"/>
  <c r="A2665" i="12"/>
  <c r="A2339" i="12"/>
  <c r="A1987" i="12"/>
  <c r="A2599" i="12"/>
  <c r="A1889" i="12"/>
  <c r="A2234" i="12"/>
  <c r="A2252" i="12"/>
  <c r="A1776" i="12"/>
  <c r="A2114" i="12"/>
  <c r="A2110" i="12"/>
  <c r="A1597" i="12"/>
  <c r="A2115" i="12"/>
  <c r="A1762" i="12"/>
  <c r="A1989" i="12"/>
  <c r="A2074" i="12"/>
  <c r="A2723" i="12"/>
  <c r="A2172" i="12"/>
  <c r="A1974" i="12"/>
  <c r="A2273" i="12"/>
  <c r="A1997" i="12"/>
  <c r="A2174" i="12"/>
  <c r="A2568" i="12"/>
  <c r="A2677" i="12"/>
  <c r="A1817" i="12"/>
  <c r="A1962" i="12"/>
  <c r="A2500" i="12"/>
  <c r="A1654" i="12"/>
  <c r="A2313" i="12"/>
  <c r="A2198" i="12"/>
  <c r="A1587" i="12"/>
  <c r="A1984" i="12"/>
  <c r="A2213" i="12"/>
  <c r="A1615" i="12"/>
  <c r="A2607" i="12"/>
  <c r="A1679" i="12"/>
  <c r="A2431" i="12"/>
  <c r="A2188" i="12"/>
  <c r="A2014" i="12"/>
  <c r="A2181" i="12"/>
  <c r="A1909" i="12"/>
  <c r="A2004" i="12"/>
  <c r="A2049" i="12"/>
  <c r="A2481" i="12"/>
  <c r="A2719" i="12"/>
  <c r="A1542" i="12"/>
  <c r="A1960" i="12"/>
  <c r="A1631" i="12"/>
  <c r="A2679" i="12"/>
  <c r="A2171" i="12"/>
  <c r="A2606" i="12"/>
  <c r="A1544" i="12"/>
  <c r="A2332" i="12"/>
  <c r="A2057" i="12"/>
  <c r="A1936" i="12"/>
  <c r="A2714" i="12"/>
  <c r="A2501" i="12"/>
  <c r="A2007" i="12"/>
  <c r="A1970" i="12"/>
  <c r="A1699" i="12"/>
  <c r="A2684" i="12"/>
  <c r="A2207" i="12"/>
  <c r="A2488" i="12"/>
  <c r="A1865" i="12"/>
  <c r="A1862" i="12"/>
  <c r="A1789" i="12"/>
  <c r="A2550" i="12"/>
  <c r="A2676" i="12"/>
  <c r="A2205" i="12"/>
  <c r="A1961" i="12"/>
  <c r="A1555" i="12"/>
  <c r="A1647" i="12"/>
  <c r="A2394" i="12"/>
  <c r="A1747" i="12"/>
  <c r="A1966" i="12"/>
  <c r="A1844" i="12"/>
  <c r="A1652" i="12"/>
  <c r="A1827" i="12"/>
  <c r="A1999" i="12"/>
  <c r="A1672" i="12"/>
  <c r="A2540" i="12"/>
  <c r="A2139" i="12"/>
  <c r="A2701" i="12"/>
  <c r="A2577" i="12"/>
  <c r="A2125" i="12"/>
  <c r="A2035" i="12"/>
  <c r="A2151" i="12"/>
  <c r="A1982" i="12"/>
  <c r="A2760" i="12"/>
  <c r="A2587" i="12"/>
  <c r="A1669" i="12"/>
  <c r="A1706" i="12"/>
  <c r="A2346" i="12"/>
  <c r="A2030" i="12"/>
  <c r="A2588" i="12"/>
  <c r="A1727" i="12"/>
  <c r="A1644" i="12"/>
  <c r="A2045" i="12"/>
  <c r="A1581" i="12"/>
  <c r="A1609" i="12"/>
  <c r="A1898" i="12"/>
  <c r="A1570" i="12"/>
  <c r="A2032" i="12"/>
  <c r="A2570" i="12"/>
  <c r="A1761" i="12"/>
  <c r="A2400" i="12"/>
  <c r="A2717" i="12"/>
  <c r="A1732" i="12"/>
  <c r="A2703" i="12"/>
  <c r="A2573" i="12"/>
  <c r="A1668" i="12"/>
  <c r="A2344" i="12"/>
  <c r="A2083" i="12"/>
  <c r="A1772" i="12"/>
  <c r="A1734" i="12"/>
  <c r="A1831" i="12"/>
  <c r="A2261" i="12"/>
  <c r="A1766" i="12"/>
  <c r="A1616" i="12"/>
  <c r="A2085" i="12"/>
  <c r="A2720" i="12"/>
  <c r="A1593" i="12"/>
  <c r="A2059" i="12"/>
  <c r="A1675" i="12"/>
  <c r="A2756" i="12"/>
  <c r="A2233" i="12"/>
  <c r="A1612" i="12"/>
  <c r="A2637" i="12"/>
  <c r="A2523" i="12"/>
  <c r="A2460" i="12"/>
  <c r="A2546" i="12"/>
  <c r="A1661" i="12"/>
  <c r="A2328" i="12"/>
  <c r="A1736" i="12"/>
  <c r="A1550" i="12"/>
  <c r="A2333" i="12"/>
  <c r="A1892" i="12"/>
  <c r="A2391" i="12"/>
  <c r="A2087" i="12"/>
  <c r="A1635" i="12"/>
  <c r="A2619" i="12"/>
  <c r="A1843" i="12"/>
  <c r="A1814" i="12"/>
  <c r="A2650" i="12"/>
  <c r="A1754" i="12"/>
  <c r="A2471" i="12"/>
  <c r="A1801" i="12"/>
  <c r="A1815" i="12"/>
  <c r="A2241" i="12"/>
  <c r="A1882" i="12"/>
  <c r="A1619" i="12"/>
  <c r="A1799" i="12"/>
  <c r="A2659" i="12"/>
  <c r="A1792" i="12"/>
  <c r="A1934" i="12"/>
  <c r="A1992" i="12"/>
  <c r="A1783" i="12"/>
  <c r="A1567" i="12"/>
  <c r="A2375" i="12"/>
  <c r="A2161" i="12"/>
  <c r="A2508" i="12"/>
  <c r="A1548" i="12"/>
  <c r="A2410" i="12"/>
  <c r="A2379" i="12"/>
  <c r="A1945" i="12"/>
  <c r="A2315" i="12"/>
  <c r="A2492" i="12"/>
  <c r="A2535" i="12"/>
  <c r="A2424" i="12"/>
  <c r="A1551" i="12"/>
  <c r="A1937" i="12"/>
  <c r="A2686" i="12"/>
  <c r="A2050" i="12"/>
  <c r="A1758" i="12"/>
  <c r="A1552" i="12"/>
  <c r="A2594" i="12"/>
  <c r="A2624" i="12"/>
  <c r="A1949" i="12"/>
  <c r="A2244" i="12"/>
  <c r="A2159" i="12"/>
  <c r="A1883" i="12"/>
  <c r="A1650" i="12"/>
  <c r="A2137" i="12"/>
  <c r="A1714" i="12"/>
  <c r="A2235" i="12"/>
  <c r="A2056" i="12"/>
  <c r="A1925" i="12"/>
  <c r="A2034" i="12"/>
  <c r="A1897" i="12"/>
  <c r="A2179" i="12"/>
  <c r="A2153" i="12"/>
  <c r="A1608" i="12"/>
  <c r="A2705" i="12"/>
  <c r="A1716" i="12"/>
  <c r="A2486" i="12"/>
  <c r="A2105" i="12"/>
  <c r="A1784" i="12"/>
  <c r="A1808" i="12"/>
  <c r="A2186" i="12"/>
  <c r="A2133" i="12"/>
  <c r="A2595" i="12"/>
  <c r="A2150" i="12"/>
  <c r="A2559" i="12"/>
  <c r="A2721" i="12"/>
  <c r="A1596" i="12"/>
  <c r="A2127" i="12"/>
  <c r="A2402" i="12"/>
  <c r="A2200" i="12"/>
  <c r="A1876" i="12"/>
  <c r="A1942" i="12"/>
  <c r="A2002" i="12"/>
  <c r="A2274" i="12"/>
  <c r="A1805" i="12"/>
  <c r="A1584" i="12"/>
  <c r="A2449" i="12"/>
  <c r="A2194" i="12"/>
  <c r="A1821" i="12"/>
  <c r="A1546" i="12"/>
  <c r="A2427" i="12"/>
  <c r="A2452" i="12"/>
  <c r="A1717" i="12"/>
  <c r="A1965" i="12"/>
  <c r="A1657" i="12"/>
  <c r="A1920" i="12"/>
  <c r="A1933" i="12"/>
  <c r="A2084" i="12"/>
  <c r="A2483" i="12"/>
  <c r="A1869" i="12"/>
  <c r="A1875" i="12"/>
  <c r="A2769" i="12"/>
  <c r="A2381" i="12"/>
  <c r="A2352" i="12"/>
  <c r="A1627" i="12"/>
  <c r="A2296" i="12"/>
  <c r="A2707" i="12"/>
  <c r="A2396" i="12"/>
  <c r="A1975" i="12"/>
  <c r="A2656" i="12"/>
  <c r="A1586" i="12"/>
  <c r="A2482" i="12"/>
  <c r="A2531" i="12"/>
  <c r="A1888" i="12"/>
  <c r="A2272" i="12"/>
  <c r="A1985" i="12"/>
  <c r="A2507" i="12"/>
  <c r="A2609" i="12"/>
  <c r="A2043" i="12"/>
  <c r="A2219" i="12"/>
  <c r="A2533" i="12"/>
  <c r="A2299" i="12"/>
  <c r="A2581" i="12"/>
  <c r="A1744" i="12"/>
  <c r="A2622" i="12"/>
  <c r="A2190" i="12"/>
  <c r="A2613" i="12"/>
  <c r="A1793" i="12"/>
  <c r="A1916" i="12"/>
  <c r="A1760" i="12"/>
  <c r="A2417" i="12"/>
  <c r="A2611" i="12"/>
  <c r="A1954" i="12"/>
  <c r="A1764" i="12"/>
  <c r="A2392" i="12"/>
  <c r="A1677" i="12"/>
  <c r="A1731" i="12"/>
  <c r="A2010" i="12"/>
  <c r="A1955" i="12"/>
  <c r="A2046" i="12"/>
  <c r="A2709" i="12"/>
  <c r="A2487" i="12"/>
  <c r="A1539" i="12"/>
  <c r="A2451" i="12"/>
  <c r="A1630" i="12"/>
  <c r="A2398" i="12"/>
  <c r="A2199" i="12"/>
  <c r="A1614" i="12"/>
  <c r="A1645" i="12"/>
  <c r="A1700" i="12"/>
  <c r="A2529" i="12"/>
  <c r="A1692" i="12"/>
  <c r="A2724" i="12"/>
  <c r="A2621" i="12"/>
  <c r="A1915" i="12"/>
  <c r="A1599" i="12"/>
  <c r="A1873" i="12"/>
  <c r="A2079" i="12"/>
  <c r="A1718" i="12"/>
  <c r="A2473" i="12"/>
  <c r="A2618" i="12"/>
  <c r="A1572" i="12"/>
  <c r="A2185" i="12"/>
  <c r="A2515" i="12"/>
  <c r="A2403" i="12"/>
  <c r="A2505" i="12"/>
  <c r="A1781" i="12"/>
  <c r="A2288" i="12"/>
  <c r="A2768" i="12"/>
  <c r="A2160" i="12"/>
  <c r="A2480" i="12"/>
  <c r="A1951" i="12"/>
  <c r="A2292" i="12"/>
  <c r="A2278" i="12"/>
  <c r="A1624" i="12"/>
  <c r="A1902" i="12"/>
  <c r="A1971" i="12"/>
  <c r="A2054" i="12"/>
  <c r="A2625" i="12"/>
  <c r="A1738" i="12"/>
  <c r="A2062" i="12"/>
  <c r="A1725" i="12"/>
  <c r="A2632" i="12"/>
  <c r="A1592" i="12"/>
  <c r="A1577" i="12"/>
  <c r="A2263" i="12"/>
  <c r="A1571" i="12"/>
  <c r="A2439" i="12"/>
  <c r="A1562" i="12"/>
  <c r="A1825" i="12"/>
  <c r="A2700" i="12"/>
  <c r="A2373" i="12"/>
  <c r="A1640" i="12"/>
  <c r="A1566" i="12"/>
  <c r="A2170" i="12"/>
  <c r="A2608" i="12"/>
  <c r="A2224" i="12"/>
  <c r="A1656" i="12"/>
  <c r="A2066" i="12"/>
  <c r="A1944" i="12"/>
  <c r="A1836" i="12"/>
  <c r="A2189" i="12"/>
  <c r="A2596" i="12"/>
  <c r="A2325" i="12"/>
  <c r="A1583" i="12"/>
  <c r="A1798" i="12"/>
  <c r="A1728" i="12"/>
  <c r="A2522" i="12"/>
  <c r="A2026" i="12"/>
  <c r="A2584" i="12"/>
  <c r="A2183" i="12"/>
  <c r="A2509" i="12"/>
  <c r="A1964" i="12"/>
  <c r="A1872" i="12"/>
  <c r="A1852" i="12"/>
  <c r="A2180" i="12"/>
  <c r="A1534" i="12"/>
  <c r="A2750" i="12"/>
</calcChain>
</file>

<file path=xl/sharedStrings.xml><?xml version="1.0" encoding="utf-8"?>
<sst xmlns="http://schemas.openxmlformats.org/spreadsheetml/2006/main" count="7269" uniqueCount="1219">
  <si>
    <t>UNIT</t>
  </si>
  <si>
    <t>DESCRIPTION</t>
  </si>
  <si>
    <t>UNIT COST</t>
  </si>
  <si>
    <t>TOTAL BASE BID</t>
  </si>
  <si>
    <t>WASTE</t>
  </si>
  <si>
    <t>QTY. W/ WASTE</t>
  </si>
  <si>
    <t>TOTAL COST</t>
  </si>
  <si>
    <t>PROJECT</t>
  </si>
  <si>
    <t>ADDRESS</t>
  </si>
  <si>
    <t>Date of submission</t>
  </si>
  <si>
    <t>Date of plans</t>
  </si>
  <si>
    <t>SR #</t>
  </si>
  <si>
    <t>SUB TOTALS</t>
  </si>
  <si>
    <t>Rev 0</t>
  </si>
  <si>
    <t>SUB - TOTAL</t>
  </si>
  <si>
    <t>LF</t>
  </si>
  <si>
    <t>Sheet
No.</t>
  </si>
  <si>
    <t>Detail
No.</t>
  </si>
  <si>
    <t>SF</t>
  </si>
  <si>
    <t>CSI
No.</t>
  </si>
  <si>
    <t>EA</t>
  </si>
  <si>
    <t>09 00 00</t>
  </si>
  <si>
    <t>FINISHES</t>
  </si>
  <si>
    <t>10 00 00</t>
  </si>
  <si>
    <t>SPECIALITIES</t>
  </si>
  <si>
    <t>12 00 00</t>
  </si>
  <si>
    <t>FURNISHINGS</t>
  </si>
  <si>
    <t>LS</t>
  </si>
  <si>
    <t>Millwork Sub Total</t>
  </si>
  <si>
    <t>BATHROOM ACCESSORIES</t>
  </si>
  <si>
    <t>Bathroom Accessoreis Sub Total</t>
  </si>
  <si>
    <t>01 00 00</t>
  </si>
  <si>
    <t>GENERAL CONDITIONS</t>
  </si>
  <si>
    <t>General Requirements
 - Mobilization
- Permits
- Project Supervision
- Cleaning
- Insurance
- Submittals
- Shop Drawings
- Temporary Facilites</t>
  </si>
  <si>
    <t>General Conditions Sub Total</t>
  </si>
  <si>
    <t>SOLID SURFACE COUNTERTOP AND BACKSPLASH</t>
  </si>
  <si>
    <t>Soap Dispenser</t>
  </si>
  <si>
    <t>PAINTING</t>
  </si>
  <si>
    <t>PAINT ON WALLS</t>
  </si>
  <si>
    <t>PAINT ON CEILING</t>
  </si>
  <si>
    <t>Painting Sub Total</t>
  </si>
  <si>
    <t xml:space="preserve">4'x8' GB Sheet </t>
  </si>
  <si>
    <t>Sheets</t>
  </si>
  <si>
    <t>500' Tape Roll</t>
  </si>
  <si>
    <t>Rolls</t>
  </si>
  <si>
    <t>Joint Compound</t>
  </si>
  <si>
    <t>Gallons</t>
  </si>
  <si>
    <t>1-1/4" Drywall Screws</t>
  </si>
  <si>
    <t>Pounds</t>
  </si>
  <si>
    <t>Approx. Quantity of Studs</t>
  </si>
  <si>
    <t>DRYWALL ASSEMBLIES</t>
  </si>
  <si>
    <t>08 00 00</t>
  </si>
  <si>
    <t>OPENINGS</t>
  </si>
  <si>
    <t>DOORS, FRAMES &amp; HARDWARES</t>
  </si>
  <si>
    <t>WINDOWS</t>
  </si>
  <si>
    <t>FIRST FLOOR</t>
  </si>
  <si>
    <t>Drywall Assemblies Sub Total</t>
  </si>
  <si>
    <t>GWB CEILING</t>
  </si>
  <si>
    <t>GWB Ceiling Sub Total</t>
  </si>
  <si>
    <r>
      <t>Countertop @ Baths W/
- 4" Backsplash</t>
    </r>
    <r>
      <rPr>
        <b/>
        <sz val="12"/>
        <rFont val="Calibri"/>
        <family val="2"/>
        <scheme val="minor"/>
      </rPr>
      <t/>
    </r>
  </si>
  <si>
    <t>SHELVES</t>
  </si>
  <si>
    <t>Tissue Paper Holder</t>
  </si>
  <si>
    <r>
      <t>42" Grab Bars</t>
    </r>
    <r>
      <rPr>
        <b/>
        <sz val="12"/>
        <rFont val="Calibri"/>
        <family val="2"/>
        <scheme val="minor"/>
      </rPr>
      <t/>
    </r>
  </si>
  <si>
    <t>EXTERIOR FINISHES</t>
  </si>
  <si>
    <t>Exterior Finishes Sub Total</t>
  </si>
  <si>
    <t>(2) Layers of 5/8" Type"X" Gypsum Board on Both Sides of Wall</t>
  </si>
  <si>
    <t>TILING</t>
  </si>
  <si>
    <t>Tiling Sub Total</t>
  </si>
  <si>
    <r>
      <t>36" Grab Bars</t>
    </r>
    <r>
      <rPr>
        <b/>
        <sz val="12"/>
        <rFont val="Calibri"/>
        <family val="2"/>
        <scheme val="minor"/>
      </rPr>
      <t/>
    </r>
  </si>
  <si>
    <t>11 00 00</t>
  </si>
  <si>
    <t>APPLIANCES</t>
  </si>
  <si>
    <t>04 00 00</t>
  </si>
  <si>
    <t>METALS</t>
  </si>
  <si>
    <t>RAILINGS</t>
  </si>
  <si>
    <t>06 00 00</t>
  </si>
  <si>
    <t>WOOD, PLASTICS &amp; COMPOSITES</t>
  </si>
  <si>
    <t>07 00 00</t>
  </si>
  <si>
    <t>THERMAL &amp; MOISTURE PROTECTION</t>
  </si>
  <si>
    <t>Scaffolding</t>
  </si>
  <si>
    <t>STEEL FRAMING</t>
  </si>
  <si>
    <t>STEEL COLUMNS</t>
  </si>
  <si>
    <t>STEEL PLATES</t>
  </si>
  <si>
    <t>Base Plates</t>
  </si>
  <si>
    <t>Cap Plates</t>
  </si>
  <si>
    <t>DOOR &amp; WINDOW TRIMS</t>
  </si>
  <si>
    <t>Doors &amp; Windows Trim Sub Total</t>
  </si>
  <si>
    <t>Windows Trim</t>
  </si>
  <si>
    <t>Doors Trim</t>
  </si>
  <si>
    <t>ASPHALT SHINGLE ROOFING</t>
  </si>
  <si>
    <t>ROOF ACCESSORIES</t>
  </si>
  <si>
    <t>Roof Accessories Sub Total</t>
  </si>
  <si>
    <r>
      <t>Countertop @ Kitchen W/
- 4" Backsplash</t>
    </r>
    <r>
      <rPr>
        <b/>
        <sz val="12"/>
        <rFont val="Calibri"/>
        <family val="2"/>
        <scheme val="minor"/>
      </rPr>
      <t/>
    </r>
  </si>
  <si>
    <t>UPPER &amp; BASE CABINET</t>
  </si>
  <si>
    <t>1'-0" Deep Closet Shelves</t>
  </si>
  <si>
    <t>VANITY COUNTERTOP &amp; CABINETS</t>
  </si>
  <si>
    <t>Paint On Ceiling</t>
  </si>
  <si>
    <t>PAINT ON DOORS</t>
  </si>
  <si>
    <t>Paint On Single Panel Doors</t>
  </si>
  <si>
    <t>Paint On Double Panel Doors</t>
  </si>
  <si>
    <t>Paint On Walls</t>
  </si>
  <si>
    <t>1 Layer of 5/8" Type"X" Gypsum Board on Both Sides of Wall</t>
  </si>
  <si>
    <t xml:space="preserve">1 Layer of 5/8" Type"X" Moisture Resistant Gypsum Board </t>
  </si>
  <si>
    <t xml:space="preserve">Fire Sealant @ Top &amp; Bottom </t>
  </si>
  <si>
    <t>WALL TYPE - A1</t>
  </si>
  <si>
    <t>Assemblies/A9.21</t>
  </si>
  <si>
    <t>A2.00-A2.50</t>
  </si>
  <si>
    <t>WALL TYPE - A2</t>
  </si>
  <si>
    <t>WALL TYPE - A3</t>
  </si>
  <si>
    <t>WALL TYPE - B1</t>
  </si>
  <si>
    <t>3-1/2" Acoustical Insulation R-13</t>
  </si>
  <si>
    <t>WALL TYPE - B2</t>
  </si>
  <si>
    <t>5-1/2" Acoustical Insulation R-13</t>
  </si>
  <si>
    <t>7-1/2" Acoustical Insulation R-13</t>
  </si>
  <si>
    <t>WALL TYPE - B3</t>
  </si>
  <si>
    <t>WALL TYPE - B5</t>
  </si>
  <si>
    <t>1 Layer of 5/8" Type"X" Gypsum Board on One Side of Wall</t>
  </si>
  <si>
    <t>1/2" Resilient Channels</t>
  </si>
  <si>
    <t>WALL TYPE - C2</t>
  </si>
  <si>
    <t>WALL TYPE - C4</t>
  </si>
  <si>
    <t>7-1/2" Acoustical Insulation R-21</t>
  </si>
  <si>
    <t>WALL TYPE - C5</t>
  </si>
  <si>
    <t>WALL TYPE - C1.B</t>
  </si>
  <si>
    <t>WALL TYPE - C2.B</t>
  </si>
  <si>
    <t>WALL TYPE - D1</t>
  </si>
  <si>
    <t>WALL TYPE - D2</t>
  </si>
  <si>
    <t>WALL TYPE - E2</t>
  </si>
  <si>
    <t>4" Metal Studs @ 16" O.C.</t>
  </si>
  <si>
    <t xml:space="preserve">4" Metal Runner Track @ Top &amp; Bottom </t>
  </si>
  <si>
    <t>3-5/8" Metal Studs Mid Wall Blocking</t>
  </si>
  <si>
    <t>WALL TYPE - E3</t>
  </si>
  <si>
    <t>2-1/2" Metal Studs @ 16" O.C.</t>
  </si>
  <si>
    <t xml:space="preserve">2-1/2" Metal Runner Track @ Top &amp; Bottom </t>
  </si>
  <si>
    <t>WALL TYPE - F1</t>
  </si>
  <si>
    <t>(2) Layers of 5/8" Type"X" Gypsum Board on One Side of Wall</t>
  </si>
  <si>
    <t>1 Layer of 5/8" Type"X" Gypsum Sheathing</t>
  </si>
  <si>
    <t>WALL TYPE - F1.B</t>
  </si>
  <si>
    <t>WALL TYPE - G1</t>
  </si>
  <si>
    <t>6" Metal Studs @ 16" O.C.</t>
  </si>
  <si>
    <t xml:space="preserve">6" Metal Runner Track @ Top &amp; Bottom </t>
  </si>
  <si>
    <t>WALL TYPE - G2</t>
  </si>
  <si>
    <t>WALL TYPE - H1</t>
  </si>
  <si>
    <t>WALL TYPE - H2</t>
  </si>
  <si>
    <t>8" Metal Studs @ 16" O.C.</t>
  </si>
  <si>
    <t xml:space="preserve">8" Metal Runner Track @ Top &amp; Bottom </t>
  </si>
  <si>
    <t>WALL TYPE - N1</t>
  </si>
  <si>
    <t>WALL TYPE - J1</t>
  </si>
  <si>
    <t>6" Metal Studs @ 24" O.C.</t>
  </si>
  <si>
    <t>Assemblies/A9.20</t>
  </si>
  <si>
    <t>1" R-5 Rigid Insulation</t>
  </si>
  <si>
    <t>1 Layer of 5/8" Type"X" Gypsum Board Sheathing</t>
  </si>
  <si>
    <t>WALL TYPE - X1A &amp; X1C</t>
  </si>
  <si>
    <t>EXTERIOR WALLS - WOOD FRAMED XE1-5 &amp; XG</t>
  </si>
  <si>
    <t>EXTERIOR WALLS - WOOD FRAMED XP1</t>
  </si>
  <si>
    <t>Assembly-1/A9.25</t>
  </si>
  <si>
    <t>Assembly-2/A9.25</t>
  </si>
  <si>
    <t>Assembly-3/A9.25</t>
  </si>
  <si>
    <t>Assembly-4/A9.25</t>
  </si>
  <si>
    <t>DROPPED GWB CEILING</t>
  </si>
  <si>
    <t>Dropped GWB Ceiling Sub Total</t>
  </si>
  <si>
    <t>Assembly-1&amp;4
/A9.60</t>
  </si>
  <si>
    <t>Detail 2/A9.31</t>
  </si>
  <si>
    <r>
      <rPr>
        <b/>
        <sz val="12"/>
        <rFont val="Calibri"/>
        <family val="2"/>
        <scheme val="minor"/>
      </rPr>
      <t>Dropped GWB Soffit &amp; Fascia As;</t>
    </r>
    <r>
      <rPr>
        <sz val="12"/>
        <rFont val="Calibri"/>
        <family val="2"/>
        <scheme val="minor"/>
      </rPr>
      <t xml:space="preserve">
- (1) Layer of 5/8" Type"X" Gypsum Board Ceiling
- 4" x 22GA. Metal Studs @ 24" O.C.
- Diagonal Bracing @ 48" O.C.</t>
    </r>
  </si>
  <si>
    <r>
      <rPr>
        <b/>
        <sz val="12"/>
        <rFont val="Calibri"/>
        <family val="2"/>
        <scheme val="minor"/>
      </rPr>
      <t>Entrance Canopy Assembly As;</t>
    </r>
    <r>
      <rPr>
        <sz val="12"/>
        <rFont val="Calibri"/>
        <family val="2"/>
        <scheme val="minor"/>
      </rPr>
      <t xml:space="preserve">
- (1) Layer of 5/8" Type"X" Gypsum Sheathing
- 4" Metal Studs @ 12" O.C. Weld to Steel Beam
- 1" Furring Channels O/
- Weather Resistive Barrier
- Purlin Channels</t>
    </r>
  </si>
  <si>
    <t>CEMENT PLASTER SYSTEM</t>
  </si>
  <si>
    <r>
      <rPr>
        <b/>
        <sz val="12"/>
        <rFont val="Calibri"/>
        <family val="2"/>
        <scheme val="minor"/>
      </rPr>
      <t>PT-1 Cement Plaster System As;</t>
    </r>
    <r>
      <rPr>
        <sz val="12"/>
        <rFont val="Calibri"/>
        <family val="2"/>
        <scheme val="minor"/>
      </rPr>
      <t xml:space="preserve">
- 7/8" Exterior Cement Plaster O/
- Lath O/ (2) Layers Building Papers
Color: Dunn Edwards-Cottage White</t>
    </r>
  </si>
  <si>
    <t>Finish Legend/A3.01</t>
  </si>
  <si>
    <t>A3.01-A3.03</t>
  </si>
  <si>
    <r>
      <rPr>
        <b/>
        <sz val="12"/>
        <rFont val="Calibri"/>
        <family val="2"/>
        <scheme val="minor"/>
      </rPr>
      <t>PT-2 Cement Plaster System As;</t>
    </r>
    <r>
      <rPr>
        <sz val="12"/>
        <rFont val="Calibri"/>
        <family val="2"/>
        <scheme val="minor"/>
      </rPr>
      <t xml:space="preserve">
- 7/8" Exterior Cement Plaster O/
- Lath O/ (2) Layers Building Papers
Color: Dunn Edwards-Charcoal Smudge</t>
    </r>
  </si>
  <si>
    <r>
      <rPr>
        <b/>
        <sz val="12"/>
        <rFont val="Calibri"/>
        <family val="2"/>
        <scheme val="minor"/>
      </rPr>
      <t>PT-1 Cement Plaster System As;</t>
    </r>
    <r>
      <rPr>
        <sz val="12"/>
        <rFont val="Calibri"/>
        <family val="2"/>
        <scheme val="minor"/>
      </rPr>
      <t xml:space="preserve">
- 7/8" Exterior Cement Plaster O/
- Lath O/ (2) Layers Building Papers
Color: Dunn Edwards-Clean Slate</t>
    </r>
  </si>
  <si>
    <t>METAL PANEL SYSTEM</t>
  </si>
  <si>
    <r>
      <rPr>
        <b/>
        <sz val="12"/>
        <rFont val="Calibri"/>
        <family val="2"/>
        <scheme val="minor"/>
      </rPr>
      <t>MT-1,2,3 Concealed Metal Panel System</t>
    </r>
    <r>
      <rPr>
        <sz val="12"/>
        <rFont val="Calibri"/>
        <family val="2"/>
        <scheme val="minor"/>
      </rPr>
      <t xml:space="preserve">
Description: Morin_3 Shades of Blue</t>
    </r>
  </si>
  <si>
    <t>TPO Roofing Sub Total</t>
  </si>
  <si>
    <t>Detail 2/A9.25</t>
  </si>
  <si>
    <t>A2.21,A2.41 &amp; A2.50</t>
  </si>
  <si>
    <t>Detail 4/A9.25</t>
  </si>
  <si>
    <r>
      <rPr>
        <b/>
        <sz val="12"/>
        <rFont val="Calibri"/>
        <family val="2"/>
        <scheme val="minor"/>
      </rPr>
      <t>TPO Roofing Membrane System O/</t>
    </r>
    <r>
      <rPr>
        <sz val="12"/>
        <rFont val="Calibri"/>
        <family val="2"/>
        <scheme val="minor"/>
      </rPr>
      <t xml:space="preserve">
- 15# Felt Paper
- Acoustimat 3/8" Premium Underlayment OR Equal
- Waterproofing Assembly</t>
    </r>
  </si>
  <si>
    <r>
      <rPr>
        <b/>
        <sz val="12"/>
        <rFont val="Calibri"/>
        <family val="2"/>
        <scheme val="minor"/>
      </rPr>
      <t>TPO Roofing Membrane System O/</t>
    </r>
    <r>
      <rPr>
        <sz val="12"/>
        <rFont val="Calibri"/>
        <family val="2"/>
        <scheme val="minor"/>
      </rPr>
      <t xml:space="preserve">
- Protection Board
- Insulation</t>
    </r>
  </si>
  <si>
    <r>
      <rPr>
        <b/>
        <sz val="12"/>
        <rFont val="Calibri"/>
        <family val="2"/>
        <scheme val="minor"/>
      </rPr>
      <t>TPO Roofing Membrane System @ Parpet Walls O/</t>
    </r>
    <r>
      <rPr>
        <sz val="12"/>
        <rFont val="Calibri"/>
        <family val="2"/>
        <scheme val="minor"/>
      </rPr>
      <t xml:space="preserve">
- Protection Board</t>
    </r>
  </si>
  <si>
    <t>Detail 3/A9.40</t>
  </si>
  <si>
    <t>ROOF METAL PANEL SYSTEM</t>
  </si>
  <si>
    <t>Morin Roof Metal Panel System @ Entrance Canopy</t>
  </si>
  <si>
    <t>Roof Metal Panel System Sub Total</t>
  </si>
  <si>
    <t>A2.12</t>
  </si>
  <si>
    <t>Overflow Drain</t>
  </si>
  <si>
    <t>4LB. Lead Flashing</t>
  </si>
  <si>
    <t>Details/A9.40</t>
  </si>
  <si>
    <t>Sheet Metal Flashing</t>
  </si>
  <si>
    <t>Base Flashing</t>
  </si>
  <si>
    <t>Flashing @ Roof Vent</t>
  </si>
  <si>
    <t>Thru Wall Flashing @ Roof to Wall Transitions</t>
  </si>
  <si>
    <t>ROOF</t>
  </si>
  <si>
    <t>PARKING FLOOR</t>
  </si>
  <si>
    <t>WALL TYPE - C1 CORRIDOR WALLS</t>
  </si>
  <si>
    <t>WALL TYPE - C1 DEMISING WALLS</t>
  </si>
  <si>
    <t>WALL TYPE - C3 CORRIDOR WALL</t>
  </si>
  <si>
    <t>WALL TYPE - C3 DEMISING WALL</t>
  </si>
  <si>
    <t>SECOND FLOOR</t>
  </si>
  <si>
    <t xml:space="preserve">1 Layer of 5/8" Type"X" Moisture Resistant Gypsum Board On Both Sides of Wall </t>
  </si>
  <si>
    <t>1 Layer of 5/8" Type"X" Moisture Resistant Gypsum Board on One Side of Wall</t>
  </si>
  <si>
    <t>PARAPET WALLS</t>
  </si>
  <si>
    <t>Detail 13/A9.30</t>
  </si>
  <si>
    <t>THIRD FLOOR</t>
  </si>
  <si>
    <t>Detail 8/A9.30</t>
  </si>
  <si>
    <t>FOURTH FLOOR</t>
  </si>
  <si>
    <r>
      <rPr>
        <b/>
        <sz val="12"/>
        <rFont val="Calibri"/>
        <family val="2"/>
        <scheme val="minor"/>
      </rPr>
      <t>GWB Wrap @ Beams As;</t>
    </r>
    <r>
      <rPr>
        <sz val="12"/>
        <rFont val="Calibri"/>
        <family val="2"/>
        <scheme val="minor"/>
      </rPr>
      <t xml:space="preserve">
- (1) Layer of 5/8" Type"X" Gypsum Board</t>
    </r>
  </si>
  <si>
    <t>Detail 1/A4.13</t>
  </si>
  <si>
    <r>
      <rPr>
        <b/>
        <sz val="12"/>
        <rFont val="Calibri"/>
        <family val="2"/>
        <scheme val="minor"/>
      </rPr>
      <t>GWB Ceiling @ Stairs As;</t>
    </r>
    <r>
      <rPr>
        <sz val="12"/>
        <rFont val="Calibri"/>
        <family val="2"/>
        <scheme val="minor"/>
      </rPr>
      <t xml:space="preserve">
- (1) Layer of 5/8" Type"X" Gypsum Board</t>
    </r>
  </si>
  <si>
    <t>Detail/A9.70</t>
  </si>
  <si>
    <t>A7.01-A7.02</t>
  </si>
  <si>
    <t>Paint On Exposed Ceiling</t>
  </si>
  <si>
    <r>
      <rPr>
        <b/>
        <sz val="12"/>
        <rFont val="Calibri"/>
        <family val="2"/>
        <scheme val="minor"/>
      </rPr>
      <t>PT-1 Cement Plaster System @ Exterior Soffit As;</t>
    </r>
    <r>
      <rPr>
        <sz val="12"/>
        <rFont val="Calibri"/>
        <family val="2"/>
        <scheme val="minor"/>
      </rPr>
      <t xml:space="preserve">
- 7/8" Exterior Cement Plaster O/
- Lath O/ (2) Layers Building Papers O/
- 2-1/2" Metal Framing
Color: Dunn Edwards-Cottage White</t>
    </r>
  </si>
  <si>
    <r>
      <rPr>
        <b/>
        <sz val="12"/>
        <rFont val="Calibri"/>
        <family val="2"/>
        <scheme val="minor"/>
      </rPr>
      <t>PT-2 Cement Plaster System @ Exterior Soffit As;</t>
    </r>
    <r>
      <rPr>
        <sz val="12"/>
        <rFont val="Calibri"/>
        <family val="2"/>
        <scheme val="minor"/>
      </rPr>
      <t xml:space="preserve">
- 7/8" Exterior Cement Plaster O/
- Lath O/ (2) Layers Building Papers O/
- 2-1/2" Metal Framing
Color: Dunn Edwards-Charcoal Smudge</t>
    </r>
  </si>
  <si>
    <t>Suppers &amp; Downspouts</t>
  </si>
  <si>
    <t>Flashing @ Vent Pipes</t>
  </si>
  <si>
    <t>Flashing @ Roof Equipments</t>
  </si>
  <si>
    <t>22GA. Cover Sheet Metal @ All Edges</t>
  </si>
  <si>
    <t>Self Adhering Butyl Flashing</t>
  </si>
  <si>
    <t>Membrane Flashing Strip</t>
  </si>
  <si>
    <t>A-8.11</t>
  </si>
  <si>
    <t>Window Schedule/A8.11</t>
  </si>
  <si>
    <t>STOREFRONT</t>
  </si>
  <si>
    <t>A-8.12</t>
  </si>
  <si>
    <r>
      <rPr>
        <b/>
        <sz val="12"/>
        <rFont val="Calibri"/>
        <family val="2"/>
        <scheme val="minor"/>
      </rPr>
      <t>Fixed Windows (28 EA)</t>
    </r>
    <r>
      <rPr>
        <sz val="12"/>
        <rFont val="Calibri"/>
        <family val="2"/>
        <scheme val="minor"/>
      </rPr>
      <t xml:space="preserve">
Size: 2'-6" x 5'-0"
Material: Vinyl</t>
    </r>
  </si>
  <si>
    <r>
      <rPr>
        <b/>
        <sz val="12"/>
        <rFont val="Calibri"/>
        <family val="2"/>
        <scheme val="minor"/>
      </rPr>
      <t>Single Hung Windows (179 EA)</t>
    </r>
    <r>
      <rPr>
        <sz val="12"/>
        <rFont val="Calibri"/>
        <family val="2"/>
        <scheme val="minor"/>
      </rPr>
      <t xml:space="preserve">
Size: 3'-0" x 5'-0"
Material: Vinyl</t>
    </r>
  </si>
  <si>
    <r>
      <rPr>
        <b/>
        <sz val="12"/>
        <rFont val="Calibri"/>
        <family val="2"/>
        <scheme val="minor"/>
      </rPr>
      <t>Fixed Windows (10 EA)</t>
    </r>
    <r>
      <rPr>
        <sz val="12"/>
        <rFont val="Calibri"/>
        <family val="2"/>
        <scheme val="minor"/>
      </rPr>
      <t xml:space="preserve">
Size: 2'-6" x 6'-0"
Material: Vinyl</t>
    </r>
  </si>
  <si>
    <r>
      <rPr>
        <b/>
        <sz val="12"/>
        <rFont val="Calibri"/>
        <family val="2"/>
        <scheme val="minor"/>
      </rPr>
      <t>Fixed Windows (04 EA)</t>
    </r>
    <r>
      <rPr>
        <sz val="12"/>
        <rFont val="Calibri"/>
        <family val="2"/>
        <scheme val="minor"/>
      </rPr>
      <t xml:space="preserve">
Size: 2'-0" x 2'-6"
Material: Vinyl</t>
    </r>
  </si>
  <si>
    <r>
      <rPr>
        <b/>
        <sz val="12"/>
        <rFont val="Calibri"/>
        <family val="2"/>
        <scheme val="minor"/>
      </rPr>
      <t>Single Hung Windows (08 EA)</t>
    </r>
    <r>
      <rPr>
        <sz val="12"/>
        <rFont val="Calibri"/>
        <family val="2"/>
        <scheme val="minor"/>
      </rPr>
      <t xml:space="preserve">
Size: 4'-2" x 5'-0"
Material: Vinyl</t>
    </r>
  </si>
  <si>
    <r>
      <rPr>
        <b/>
        <sz val="12"/>
        <rFont val="Calibri"/>
        <family val="2"/>
        <scheme val="minor"/>
      </rPr>
      <t>Fixed/Sliding Windows (21 EA)</t>
    </r>
    <r>
      <rPr>
        <sz val="12"/>
        <rFont val="Calibri"/>
        <family val="2"/>
        <scheme val="minor"/>
      </rPr>
      <t xml:space="preserve">
Size: 6'-0" x 4'-7"
Material: Vinyl</t>
    </r>
  </si>
  <si>
    <r>
      <rPr>
        <b/>
        <sz val="12"/>
        <rFont val="Calibri"/>
        <family val="2"/>
        <scheme val="minor"/>
      </rPr>
      <t>Fixed/Sliding Windows (17 EA)</t>
    </r>
    <r>
      <rPr>
        <sz val="12"/>
        <rFont val="Calibri"/>
        <family val="2"/>
        <scheme val="minor"/>
      </rPr>
      <t xml:space="preserve">
Size: 5'-0" x 6'-0"
Material: Vinyl</t>
    </r>
  </si>
  <si>
    <r>
      <rPr>
        <b/>
        <sz val="12"/>
        <rFont val="Calibri"/>
        <family val="2"/>
        <scheme val="minor"/>
      </rPr>
      <t>Fixed/Sliding Windows (15 EA)</t>
    </r>
    <r>
      <rPr>
        <sz val="12"/>
        <rFont val="Calibri"/>
        <family val="2"/>
        <scheme val="minor"/>
      </rPr>
      <t xml:space="preserve">
Size: 6'-0" x 6'-0"
Material: Vinyl</t>
    </r>
  </si>
  <si>
    <r>
      <rPr>
        <b/>
        <sz val="12"/>
        <rFont val="Calibri"/>
        <family val="2"/>
        <scheme val="minor"/>
      </rPr>
      <t>Fixed/Sliding Windows (04 EA)</t>
    </r>
    <r>
      <rPr>
        <sz val="12"/>
        <rFont val="Calibri"/>
        <family val="2"/>
        <scheme val="minor"/>
      </rPr>
      <t xml:space="preserve">
Size: 6'-0" x 7'-6"
Material: Vinyl</t>
    </r>
  </si>
  <si>
    <r>
      <rPr>
        <b/>
        <sz val="12"/>
        <rFont val="Calibri"/>
        <family val="2"/>
        <scheme val="minor"/>
      </rPr>
      <t>Fixed Windows (09 EA)</t>
    </r>
    <r>
      <rPr>
        <sz val="12"/>
        <rFont val="Calibri"/>
        <family val="2"/>
        <scheme val="minor"/>
      </rPr>
      <t xml:space="preserve">
Size: 2'-6" x 2'-6"
Material: Vinyl</t>
    </r>
  </si>
  <si>
    <r>
      <rPr>
        <b/>
        <sz val="12"/>
        <rFont val="Calibri"/>
        <family val="2"/>
        <scheme val="minor"/>
      </rPr>
      <t>ST-1-10 Storefront</t>
    </r>
    <r>
      <rPr>
        <sz val="12"/>
        <rFont val="Calibri"/>
        <family val="2"/>
        <scheme val="minor"/>
      </rPr>
      <t xml:space="preserve">
Model# AFG 451T</t>
    </r>
  </si>
  <si>
    <t>ALUMINUM DOORS</t>
  </si>
  <si>
    <t>Single Panel Doors
Size: 3'-0" x 7'-0"
Door Material: Aluminum/Glass
Frame Material: Aluminum</t>
  </si>
  <si>
    <t>A-8.10</t>
  </si>
  <si>
    <t>Door Schedule/A8.10</t>
  </si>
  <si>
    <t>Double Panel Doors
Size: 6'-0" x 7'-0"
Door Material: Aluminum/Glass
Frame Material: Aluminum</t>
  </si>
  <si>
    <t>HOLLOW METAL DOORS</t>
  </si>
  <si>
    <t>Single Panel Doors
Size: 3'-0" x 7'-0"
Door &amp; Frame Material: Hollow Metal</t>
  </si>
  <si>
    <t>Double Panel Doors
Size: 6'-0" x 7'-0"
Door &amp; Frame Material: Hollow Metal</t>
  </si>
  <si>
    <t>Single Panel Doors
Size: 2'-0" x 7'-0"
Door &amp; Frame Material: Hollow Metal</t>
  </si>
  <si>
    <t>STEEL DOORS</t>
  </si>
  <si>
    <t>Parking Doors
Size: 17'-0" x 8'-6"
Door &amp; Frame Material: Steel</t>
  </si>
  <si>
    <t>Parking Doors
Size: 18'-0" x 8'-6"
Door &amp; Frame Material: Steel</t>
  </si>
  <si>
    <t>WOOD DOORS</t>
  </si>
  <si>
    <t>Double Panel Doors
Size: 4'-0" x 6'-8"
Door Material: Hollow Core Wood
Frame Material: Wood</t>
  </si>
  <si>
    <t>Double Panel Doors
Size: 5'-0" x 6'-8"
Door Material: Hollow Core Wood
Frame Material: Wood</t>
  </si>
  <si>
    <t>Double Panel Doors
Size: 6'-0" x 6'-8"
Door Material: Hollow Core Wood
Frame Material: Wood</t>
  </si>
  <si>
    <t>Double Panel Doors
Size: 8'-0" x 6'-8"
Door Material: Hollow Core Wood
Frame Material: Wood</t>
  </si>
  <si>
    <t>Single Panel Doors
Size: 2'-0" x 6'-8"
Door Material: Hollow Core Wood
Frame Material: Wood</t>
  </si>
  <si>
    <t>Single Panel Doors
Size: 3'-0" x 7'-0"
Door Material: Solid Core Wood
Frame Material: Hollow Metal</t>
  </si>
  <si>
    <t>Single Panel Doors
Size: 3'-0" x 6'-8"
Door Material: Hollow Core Wood
Frame Material: Wood</t>
  </si>
  <si>
    <t>Double Panel Doors
Size: 6'-0" x 6'-8"
Door &amp; Frame Material: Fiber Glass</t>
  </si>
  <si>
    <t>Rev0</t>
  </si>
  <si>
    <t>LUMBER</t>
  </si>
  <si>
    <t>QTY.</t>
  </si>
  <si>
    <t>LABOR 
UNIT COST</t>
  </si>
  <si>
    <t>MATERIAL UNIT  COST</t>
  </si>
  <si>
    <t>TOTAL LABOR</t>
  </si>
  <si>
    <t>TOTAL MATERIAL</t>
  </si>
  <si>
    <t>REMARKS</t>
  </si>
  <si>
    <t>Simpson Strong Tie Allowance:</t>
  </si>
  <si>
    <t>Note: 10% Wastage is figured with all quantities</t>
  </si>
  <si>
    <t>Total Labor</t>
  </si>
  <si>
    <t>Total Material</t>
  </si>
  <si>
    <t>TRUSSES</t>
  </si>
  <si>
    <t>Trusses:</t>
  </si>
  <si>
    <t>Truss (8' Long)</t>
  </si>
  <si>
    <t>Trusses @ 24" O.C</t>
  </si>
  <si>
    <t>Truss (11' Long)</t>
  </si>
  <si>
    <t>Truss (13' Long)</t>
  </si>
  <si>
    <t>Truss (15' Long)</t>
  </si>
  <si>
    <t>Truss (18' Long)</t>
  </si>
  <si>
    <t>Truss (19' Long)</t>
  </si>
  <si>
    <t>Truss (21' Long)</t>
  </si>
  <si>
    <t>Truss (23' Long)</t>
  </si>
  <si>
    <t>Truss (24' Long)</t>
  </si>
  <si>
    <t>Truss (25' Long)</t>
  </si>
  <si>
    <t>Truss (26' Long)</t>
  </si>
  <si>
    <t>Truss (27' Long)</t>
  </si>
  <si>
    <t>Truss (28' Long)</t>
  </si>
  <si>
    <t>Truss (30' Long)</t>
  </si>
  <si>
    <t>Truss (31' Long)</t>
  </si>
  <si>
    <t>Truss (32' Long)</t>
  </si>
  <si>
    <t>Truss (33' Long)</t>
  </si>
  <si>
    <t>Truss (34' Long)</t>
  </si>
  <si>
    <t>Truss (35' Long)</t>
  </si>
  <si>
    <t>Truss (36' Long)</t>
  </si>
  <si>
    <t>Drag Truss (33' Long)</t>
  </si>
  <si>
    <t>Total Trusses</t>
  </si>
  <si>
    <t>HSS5x5x1/8 (81 LF) (09 EA Column)</t>
  </si>
  <si>
    <t>LB</t>
  </si>
  <si>
    <t>W-BEAMS</t>
  </si>
  <si>
    <t>W6x15 (9.8 LF) Beam</t>
  </si>
  <si>
    <t>A2.01-A2.41</t>
  </si>
  <si>
    <t>Finish Schedule</t>
  </si>
  <si>
    <t>WALL BASE</t>
  </si>
  <si>
    <t>Wall Base Sub Total</t>
  </si>
  <si>
    <t>CARPET FLOORING</t>
  </si>
  <si>
    <t>Carpet Flooring Sub Total</t>
  </si>
  <si>
    <t>VINYL FLOORING</t>
  </si>
  <si>
    <t>Assumed</t>
  </si>
  <si>
    <t>Vinyl Flooring Sub Total</t>
  </si>
  <si>
    <t>SEALED CONCERETE</t>
  </si>
  <si>
    <t>Sealed Concrete Flooring</t>
  </si>
  <si>
    <t>Sealed Concrete Sub Total</t>
  </si>
  <si>
    <t>A6.03-A6.04</t>
  </si>
  <si>
    <t>Keynote Legends</t>
  </si>
  <si>
    <r>
      <t>24" Grab Bars</t>
    </r>
    <r>
      <rPr>
        <b/>
        <sz val="12"/>
        <rFont val="Calibri"/>
        <family val="2"/>
        <scheme val="minor"/>
      </rPr>
      <t/>
    </r>
  </si>
  <si>
    <r>
      <t>36" Towel Grab Bars</t>
    </r>
    <r>
      <rPr>
        <b/>
        <sz val="12"/>
        <rFont val="Calibri"/>
        <family val="2"/>
        <scheme val="minor"/>
      </rPr>
      <t/>
    </r>
  </si>
  <si>
    <r>
      <t>12" Grab Bars</t>
    </r>
    <r>
      <rPr>
        <b/>
        <sz val="12"/>
        <rFont val="Calibri"/>
        <family val="2"/>
        <scheme val="minor"/>
      </rPr>
      <t/>
    </r>
  </si>
  <si>
    <t>Mirror
Size:2'-0"x3'-0"</t>
  </si>
  <si>
    <t>Medicine Cabinet
Size:1'-6"x2'-8"</t>
  </si>
  <si>
    <t>Toilet Seat Cover Dispenser</t>
  </si>
  <si>
    <t>Sanitary Napkin Disposal</t>
  </si>
  <si>
    <t>Tub Bath Seat</t>
  </si>
  <si>
    <t>MAIL BOXES</t>
  </si>
  <si>
    <t>A6.05</t>
  </si>
  <si>
    <t>Mail Boxes
Size: 2'-9"x3'-4"</t>
  </si>
  <si>
    <t>Mail Boxes Sub Total</t>
  </si>
  <si>
    <t>FIRE EXTINGUISHER AND CABINET</t>
  </si>
  <si>
    <t>Fire Extinguisher &amp; Cabinet</t>
  </si>
  <si>
    <t>FECs Sub Total</t>
  </si>
  <si>
    <t>Appliances Sub Total</t>
  </si>
  <si>
    <t>EQUIPMENTS</t>
  </si>
  <si>
    <t>A6.01-A6.05</t>
  </si>
  <si>
    <t>1'-0"D X 1'-6" H Upper Cabinet</t>
  </si>
  <si>
    <t>1'-0"D X 1'-7" H Upper Cabinet</t>
  </si>
  <si>
    <t>1'-0"D X 2'-0" H Upper Cabinet</t>
  </si>
  <si>
    <t>1'-0"D X 2'-6" H Upper Cabinet</t>
  </si>
  <si>
    <t>1'-0"D X 3'-2" H Upper Cabinet</t>
  </si>
  <si>
    <t>1'-10"D X 2'-10" H Base Cabinet</t>
  </si>
  <si>
    <t>1'-11"D X 2'-10" H Base Cabinet</t>
  </si>
  <si>
    <t>2'-0"D X 2'-10" H Base Cabinet</t>
  </si>
  <si>
    <t>DRAWERS</t>
  </si>
  <si>
    <t>1'-10"D X 2'-10"H Drawers</t>
  </si>
  <si>
    <t>1'-11"D X 2'-10"H Drawers</t>
  </si>
  <si>
    <t>2'-0"D X 2'-10"H Drawers</t>
  </si>
  <si>
    <t>1'-11"D X 2'-10"H Trash Bin Drawers</t>
  </si>
  <si>
    <t>2'-0"D X 2'-10"H Trash Bin Drawers</t>
  </si>
  <si>
    <t>A5.01-A5.02</t>
  </si>
  <si>
    <t>2'-10"D x 7'-8"H Shelving</t>
  </si>
  <si>
    <t>ALTERNATE</t>
  </si>
  <si>
    <t>Alternate for Carpet Flooring In Lieu of VNP Flooring</t>
  </si>
  <si>
    <t>Alternate Sub Total</t>
  </si>
  <si>
    <t>Doors, Frames &amp; Hardware Sub Total</t>
  </si>
  <si>
    <t>Storefront Sub Total</t>
  </si>
  <si>
    <t>Windows Sub Total</t>
  </si>
  <si>
    <t>5-1/2" Acoustical Batt Insulation R-21</t>
  </si>
  <si>
    <t>14 00 00</t>
  </si>
  <si>
    <t>ELEVATOR</t>
  </si>
  <si>
    <t>A7.04</t>
  </si>
  <si>
    <t>LADDER</t>
  </si>
  <si>
    <t>EA.</t>
  </si>
  <si>
    <t>A704</t>
  </si>
  <si>
    <t>TRASH BINS</t>
  </si>
  <si>
    <t>A7.05</t>
  </si>
  <si>
    <t>Trash Bins Sub Total</t>
  </si>
  <si>
    <r>
      <t xml:space="preserve">Trash Bins
</t>
    </r>
    <r>
      <rPr>
        <b/>
        <sz val="12"/>
        <rFont val="Calibri"/>
        <family val="2"/>
        <scheme val="minor"/>
      </rPr>
      <t>Size:</t>
    </r>
    <r>
      <rPr>
        <sz val="12"/>
        <rFont val="Calibri"/>
        <family val="2"/>
        <scheme val="minor"/>
      </rPr>
      <t xml:space="preserve"> 3'-6"Wide x 6'-0"Long x 5'-6" High</t>
    </r>
  </si>
  <si>
    <t>Note:1121/A7.05</t>
  </si>
  <si>
    <r>
      <t xml:space="preserve">Elevator </t>
    </r>
    <r>
      <rPr>
        <b/>
        <sz val="12"/>
        <rFont val="Calibri"/>
        <family val="2"/>
        <scheme val="minor"/>
      </rPr>
      <t>(Pit To Bulkhead)
Height:</t>
    </r>
    <r>
      <rPr>
        <sz val="12"/>
        <rFont val="Calibri"/>
        <family val="2"/>
        <scheme val="minor"/>
      </rPr>
      <t xml:space="preserve"> 63'-8"
- Elevator Hold Open Magnet Smoke Door</t>
    </r>
  </si>
  <si>
    <t>Elevator Sub Total</t>
  </si>
  <si>
    <t xml:space="preserve"> </t>
  </si>
  <si>
    <t>FIXTURES</t>
  </si>
  <si>
    <t>S7</t>
  </si>
  <si>
    <t>1.66" O.D. Steel Pipe Handrail (3'-0" High)
- 1/2" Dia. Steel Bracket @ 5'-0" O.C.
- 4" Dia. X 1/4" Steel Plate
- 5/8" Dia. Steel Spacer
- No.14 x 3" Self-Tap S.M. Screw
- 16GA. Backing @ Steel Stud Wall</t>
  </si>
  <si>
    <r>
      <rPr>
        <b/>
        <sz val="12"/>
        <rFont val="Calibri"/>
        <family val="2"/>
        <scheme val="minor"/>
      </rPr>
      <t>Elevator Pit Ladder As;</t>
    </r>
    <r>
      <rPr>
        <sz val="12"/>
        <rFont val="Calibri"/>
        <family val="2"/>
        <scheme val="minor"/>
      </rPr>
      <t xml:space="preserve">
- 2-1/2"x2-1/2" Steel Stringers
- 3"x7"x1/4" Thkx 3" Clip Angle Welded To Ladder Stringers
- 3/4" Dia. Rung @12" O.C. W/ Slip Resistant Finish
- 3"x3"x1/4" Thkx 3" Clip Angle Welded To Ladder Stringers</t>
    </r>
  </si>
  <si>
    <t>13/A9.70</t>
  </si>
  <si>
    <t>1/A9.70</t>
  </si>
  <si>
    <t>1.66" O.D. Steel Pipe Guardrail (3'-6" High)
- 1/2" Dia. Steel Bracket @ 5'-0" O.C.
- 4" Dia. X 1/4" Steel Plate
- 5/8" Dia. Steel Spacer
- No.14 x 3" Self-Tap S.M. Screw
- 16GA. Backing @ Steel Stud Wall</t>
  </si>
  <si>
    <t>DECORATIVE RAILINGS</t>
  </si>
  <si>
    <t>2'-10" High Decorative Guard Railing @ Balconies</t>
  </si>
  <si>
    <t>Note:0522</t>
  </si>
  <si>
    <t>WALL MURAL</t>
  </si>
  <si>
    <t>Note:0975</t>
  </si>
  <si>
    <r>
      <rPr>
        <sz val="12"/>
        <rFont val="Calibri"/>
        <family val="2"/>
        <scheme val="minor"/>
      </rPr>
      <t>Wall Mural</t>
    </r>
    <r>
      <rPr>
        <b/>
        <sz val="12"/>
        <rFont val="Calibri"/>
        <family val="2"/>
        <scheme val="minor"/>
      </rPr>
      <t xml:space="preserve">
Size: </t>
    </r>
    <r>
      <rPr>
        <sz val="12"/>
        <rFont val="Calibri"/>
        <family val="2"/>
        <scheme val="minor"/>
      </rPr>
      <t xml:space="preserve">11'-0" Wide x 20'-0" High
</t>
    </r>
  </si>
  <si>
    <r>
      <rPr>
        <sz val="12"/>
        <rFont val="Calibri"/>
        <family val="2"/>
        <scheme val="minor"/>
      </rPr>
      <t>Wall Mural</t>
    </r>
    <r>
      <rPr>
        <b/>
        <sz val="12"/>
        <rFont val="Calibri"/>
        <family val="2"/>
        <scheme val="minor"/>
      </rPr>
      <t xml:space="preserve">
Size: </t>
    </r>
    <r>
      <rPr>
        <sz val="12"/>
        <rFont val="Calibri"/>
        <family val="2"/>
        <scheme val="minor"/>
      </rPr>
      <t xml:space="preserve">11'-0" Wide x 6'-6" High
</t>
    </r>
  </si>
  <si>
    <t>EXTERIOR SIGNAGES</t>
  </si>
  <si>
    <r>
      <rPr>
        <b/>
        <sz val="12"/>
        <rFont val="Calibri"/>
        <family val="2"/>
        <scheme val="minor"/>
      </rPr>
      <t>Exterior Signage Building Address</t>
    </r>
    <r>
      <rPr>
        <sz val="12"/>
        <rFont val="Calibri"/>
        <family val="2"/>
        <scheme val="minor"/>
      </rPr>
      <t xml:space="preserve">
</t>
    </r>
    <r>
      <rPr>
        <b/>
        <sz val="12"/>
        <rFont val="Calibri"/>
        <family val="2"/>
        <scheme val="minor"/>
      </rPr>
      <t xml:space="preserve">Lettering: </t>
    </r>
    <r>
      <rPr>
        <sz val="12"/>
        <rFont val="Calibri"/>
        <family val="2"/>
        <scheme val="minor"/>
      </rPr>
      <t xml:space="preserve">6TH GRAND
</t>
    </r>
    <r>
      <rPr>
        <b/>
        <sz val="12"/>
        <rFont val="Calibri"/>
        <family val="2"/>
        <scheme val="minor"/>
      </rPr>
      <t>Size:</t>
    </r>
    <r>
      <rPr>
        <sz val="12"/>
        <rFont val="Calibri"/>
        <family val="2"/>
        <scheme val="minor"/>
      </rPr>
      <t xml:space="preserve"> 8'-0"Wide x 1'-0" High</t>
    </r>
  </si>
  <si>
    <t>Note:0976</t>
  </si>
  <si>
    <t>Exterior Signages Sub Total</t>
  </si>
  <si>
    <r>
      <t xml:space="preserve">CT Tile Flooring
</t>
    </r>
    <r>
      <rPr>
        <b/>
        <i/>
        <sz val="12"/>
        <color rgb="FF002060"/>
        <rFont val="Calibri"/>
        <family val="2"/>
        <scheme val="minor"/>
      </rPr>
      <t>Note: No Specs found on plans.</t>
    </r>
  </si>
  <si>
    <t>Note: We have also included the sealed concrete flooring @ parking level in our estimate. Please confirm</t>
  </si>
  <si>
    <r>
      <t xml:space="preserve">WB Wood Wall Base @ Corridors
</t>
    </r>
    <r>
      <rPr>
        <b/>
        <i/>
        <sz val="12"/>
        <color rgb="FF002060"/>
        <rFont val="Calibri"/>
        <family val="2"/>
        <scheme val="minor"/>
      </rPr>
      <t>Note: No Specs found on plans.</t>
    </r>
  </si>
  <si>
    <r>
      <t xml:space="preserve">WB Wood Wall Base
</t>
    </r>
    <r>
      <rPr>
        <b/>
        <i/>
        <sz val="12"/>
        <color rgb="FF002060"/>
        <rFont val="Calibri"/>
        <family val="2"/>
        <scheme val="minor"/>
      </rPr>
      <t>Note: No Specs found on plans.</t>
    </r>
  </si>
  <si>
    <r>
      <t xml:space="preserve">VNP Flooring @ Corridors
</t>
    </r>
    <r>
      <rPr>
        <b/>
        <i/>
        <sz val="12"/>
        <color rgb="FF002060"/>
        <rFont val="Calibri"/>
        <family val="2"/>
        <scheme val="minor"/>
      </rPr>
      <t>Note: No Specs found on plans.</t>
    </r>
  </si>
  <si>
    <r>
      <t xml:space="preserve">VNP Flooring
</t>
    </r>
    <r>
      <rPr>
        <b/>
        <i/>
        <sz val="12"/>
        <color rgb="FF002060"/>
        <rFont val="Calibri"/>
        <family val="2"/>
        <scheme val="minor"/>
      </rPr>
      <t>Note: No Specs found on plans.</t>
    </r>
  </si>
  <si>
    <r>
      <t xml:space="preserve">Carpet Flooring
</t>
    </r>
    <r>
      <rPr>
        <b/>
        <i/>
        <sz val="12"/>
        <color rgb="FF002060"/>
        <rFont val="Calibri"/>
        <family val="2"/>
        <scheme val="minor"/>
      </rPr>
      <t>Note: No Specs found on plans.</t>
    </r>
  </si>
  <si>
    <r>
      <t xml:space="preserve">CT Wall Tile
</t>
    </r>
    <r>
      <rPr>
        <b/>
        <i/>
        <sz val="12"/>
        <color rgb="FF002060"/>
        <rFont val="Calibri"/>
        <family val="2"/>
        <scheme val="minor"/>
      </rPr>
      <t>Note: No Specs found on plans.</t>
    </r>
  </si>
  <si>
    <r>
      <t xml:space="preserve">CT Tile Wall Base
</t>
    </r>
    <r>
      <rPr>
        <b/>
        <i/>
        <sz val="12"/>
        <color rgb="FF002060"/>
        <rFont val="Calibri"/>
        <family val="2"/>
        <scheme val="minor"/>
      </rPr>
      <t>Note: No Specs found on plans.</t>
    </r>
  </si>
  <si>
    <t>Note: As per the finish schedule it does not show any floor finish @ corridors so we have assumed it in our estimate. Please Confirm and VIF</t>
  </si>
  <si>
    <t>Note: As per the finish schedule it does not show any base @ corridors so we have assumed it in our estimate. Please Confirm and VIF</t>
  </si>
  <si>
    <t>Note: As per the finish schedule it shows CP/VNP in the apartment areas so we have included VNP in the base bid and CP as an alternate in our estimate. Please confirm and VIF</t>
  </si>
  <si>
    <r>
      <t>Carpet Flooring</t>
    </r>
    <r>
      <rPr>
        <b/>
        <i/>
        <sz val="12"/>
        <color rgb="FF002060"/>
        <rFont val="Calibri"/>
        <family val="2"/>
        <scheme val="minor"/>
      </rPr>
      <t xml:space="preserve">
Note: No Specs found on plans.</t>
    </r>
  </si>
  <si>
    <t>Paint On Concrete Walls</t>
  </si>
  <si>
    <t>Metal Panel System Sub Total</t>
  </si>
  <si>
    <t>Metal Cladding Wrapped @ Wood Posts</t>
  </si>
  <si>
    <t>Note:0609</t>
  </si>
  <si>
    <t>A2.21</t>
  </si>
  <si>
    <t>FLOOR UNDERLAYMENT</t>
  </si>
  <si>
    <t>Floor Underlayment Sub Total</t>
  </si>
  <si>
    <t>DECKCOATING</t>
  </si>
  <si>
    <t>Deckcoating Sub Total</t>
  </si>
  <si>
    <t>Deckcoating</t>
  </si>
  <si>
    <r>
      <rPr>
        <b/>
        <sz val="12"/>
        <rFont val="Calibri"/>
        <family val="2"/>
        <scheme val="minor"/>
      </rPr>
      <t>Floor Underlayment As;</t>
    </r>
    <r>
      <rPr>
        <sz val="12"/>
        <rFont val="Calibri"/>
        <family val="2"/>
        <scheme val="minor"/>
      </rPr>
      <t xml:space="preserve">
- 1" Gypcrete</t>
    </r>
  </si>
  <si>
    <t>Assembly-1&amp;17/A9.25</t>
  </si>
  <si>
    <r>
      <rPr>
        <b/>
        <sz val="12"/>
        <rFont val="Calibri"/>
        <family val="2"/>
        <scheme val="minor"/>
      </rPr>
      <t>Roof/Ceiling Assembly - 4 Interior As;</t>
    </r>
    <r>
      <rPr>
        <sz val="12"/>
        <rFont val="Calibri"/>
        <family val="2"/>
        <scheme val="minor"/>
      </rPr>
      <t xml:space="preserve">
- (1) Layer of 5/8" Type"X" Gypsum Board Ceiling
- 1/2" Resilient Channels
- 12"Thk R-38 Batt Insulation</t>
    </r>
  </si>
  <si>
    <r>
      <rPr>
        <b/>
        <sz val="12"/>
        <rFont val="Calibri"/>
        <family val="2"/>
        <scheme val="minor"/>
      </rPr>
      <t>Floor/Ceiling Assembly - 17 As;</t>
    </r>
    <r>
      <rPr>
        <sz val="12"/>
        <rFont val="Calibri"/>
        <family val="2"/>
        <scheme val="minor"/>
      </rPr>
      <t xml:space="preserve">
- (2) Layers of 5/8" Type"X" Gypsum Board Ceiling
- 3-1/2"Thk R-19 Batt Insulation</t>
    </r>
  </si>
  <si>
    <r>
      <rPr>
        <b/>
        <sz val="12"/>
        <rFont val="Calibri"/>
        <family val="2"/>
        <scheme val="minor"/>
      </rPr>
      <t>PT-2 Cement Plaster System @ Exterior Soffit As;</t>
    </r>
    <r>
      <rPr>
        <sz val="12"/>
        <rFont val="Calibri"/>
        <family val="2"/>
        <scheme val="minor"/>
      </rPr>
      <t xml:space="preserve">
- 7/8" Exterior Cement Plaster O/
- Lath O/ (2) Layers Building Papers O/
- 2-1/2" Metal Framing
- Insulation
Color: Dunn Edwards-Charcoal Smudge</t>
    </r>
  </si>
  <si>
    <t>INTERIOR SIGNAGES</t>
  </si>
  <si>
    <t>Interior Signages Sub Total</t>
  </si>
  <si>
    <r>
      <rPr>
        <b/>
        <sz val="12"/>
        <rFont val="Calibri"/>
        <family val="2"/>
        <scheme val="minor"/>
      </rPr>
      <t>Trash Room Signage</t>
    </r>
    <r>
      <rPr>
        <sz val="12"/>
        <rFont val="Calibri"/>
        <family val="2"/>
        <scheme val="minor"/>
      </rPr>
      <t xml:space="preserve">
</t>
    </r>
    <r>
      <rPr>
        <b/>
        <sz val="12"/>
        <rFont val="Calibri"/>
        <family val="2"/>
        <scheme val="minor"/>
      </rPr>
      <t xml:space="preserve">Lettering: </t>
    </r>
    <r>
      <rPr>
        <sz val="12"/>
        <rFont val="Calibri"/>
        <family val="2"/>
        <scheme val="minor"/>
      </rPr>
      <t xml:space="preserve">RECYCLING
</t>
    </r>
    <r>
      <rPr>
        <b/>
        <sz val="12"/>
        <rFont val="Calibri"/>
        <family val="2"/>
        <scheme val="minor"/>
      </rPr>
      <t>Size:</t>
    </r>
    <r>
      <rPr>
        <sz val="12"/>
        <rFont val="Calibri"/>
        <family val="2"/>
        <scheme val="minor"/>
      </rPr>
      <t xml:space="preserve"> 6"Wide x 4" High</t>
    </r>
  </si>
  <si>
    <t>3/A9.01</t>
  </si>
  <si>
    <r>
      <rPr>
        <b/>
        <sz val="12"/>
        <rFont val="Calibri"/>
        <family val="2"/>
        <scheme val="minor"/>
      </rPr>
      <t>Trash Room Signage</t>
    </r>
    <r>
      <rPr>
        <sz val="12"/>
        <rFont val="Calibri"/>
        <family val="2"/>
        <scheme val="minor"/>
      </rPr>
      <t xml:space="preserve">
</t>
    </r>
    <r>
      <rPr>
        <b/>
        <sz val="12"/>
        <rFont val="Calibri"/>
        <family val="2"/>
        <scheme val="minor"/>
      </rPr>
      <t xml:space="preserve">Lettering: </t>
    </r>
    <r>
      <rPr>
        <sz val="12"/>
        <rFont val="Calibri"/>
        <family val="2"/>
        <scheme val="minor"/>
      </rPr>
      <t xml:space="preserve">SOLID WASTE
</t>
    </r>
    <r>
      <rPr>
        <b/>
        <sz val="12"/>
        <rFont val="Calibri"/>
        <family val="2"/>
        <scheme val="minor"/>
      </rPr>
      <t>Size:</t>
    </r>
    <r>
      <rPr>
        <sz val="12"/>
        <rFont val="Calibri"/>
        <family val="2"/>
        <scheme val="minor"/>
      </rPr>
      <t xml:space="preserve"> 6"Wide x 4" High</t>
    </r>
  </si>
  <si>
    <t>2/A9.01</t>
  </si>
  <si>
    <r>
      <rPr>
        <b/>
        <sz val="12"/>
        <rFont val="Calibri"/>
        <family val="2"/>
        <scheme val="minor"/>
      </rPr>
      <t>Elevator Signage</t>
    </r>
    <r>
      <rPr>
        <sz val="12"/>
        <rFont val="Calibri"/>
        <family val="2"/>
        <scheme val="minor"/>
      </rPr>
      <t xml:space="preserve">
</t>
    </r>
    <r>
      <rPr>
        <b/>
        <sz val="12"/>
        <rFont val="Calibri"/>
        <family val="2"/>
        <scheme val="minor"/>
      </rPr>
      <t>Size:</t>
    </r>
    <r>
      <rPr>
        <sz val="12"/>
        <rFont val="Calibri"/>
        <family val="2"/>
        <scheme val="minor"/>
      </rPr>
      <t xml:space="preserve"> 6"Wide x 8" High</t>
    </r>
  </si>
  <si>
    <t>1/A9.01</t>
  </si>
  <si>
    <r>
      <rPr>
        <b/>
        <sz val="12"/>
        <rFont val="Calibri"/>
        <family val="2"/>
        <scheme val="minor"/>
      </rPr>
      <t>Accessibility Sign @ Unit Entrance</t>
    </r>
    <r>
      <rPr>
        <sz val="12"/>
        <rFont val="Calibri"/>
        <family val="2"/>
        <scheme val="minor"/>
      </rPr>
      <t xml:space="preserve">
</t>
    </r>
    <r>
      <rPr>
        <b/>
        <sz val="12"/>
        <rFont val="Calibri"/>
        <family val="2"/>
        <scheme val="minor"/>
      </rPr>
      <t>Size:</t>
    </r>
    <r>
      <rPr>
        <sz val="12"/>
        <rFont val="Calibri"/>
        <family val="2"/>
        <scheme val="minor"/>
      </rPr>
      <t xml:space="preserve"> 6"Wide x 6" High</t>
    </r>
  </si>
  <si>
    <t>8/A9.01</t>
  </si>
  <si>
    <r>
      <rPr>
        <b/>
        <sz val="12"/>
        <rFont val="Calibri"/>
        <family val="2"/>
        <scheme val="minor"/>
      </rPr>
      <t>Assistive Listening Sign @ Unit Entrance</t>
    </r>
    <r>
      <rPr>
        <sz val="12"/>
        <rFont val="Calibri"/>
        <family val="2"/>
        <scheme val="minor"/>
      </rPr>
      <t xml:space="preserve">
</t>
    </r>
    <r>
      <rPr>
        <b/>
        <sz val="12"/>
        <rFont val="Calibri"/>
        <family val="2"/>
        <scheme val="minor"/>
      </rPr>
      <t>Size:</t>
    </r>
    <r>
      <rPr>
        <sz val="12"/>
        <rFont val="Calibri"/>
        <family val="2"/>
        <scheme val="minor"/>
      </rPr>
      <t xml:space="preserve"> 11"Wide x 6" High</t>
    </r>
  </si>
  <si>
    <r>
      <rPr>
        <b/>
        <sz val="12"/>
        <rFont val="Calibri"/>
        <family val="2"/>
        <scheme val="minor"/>
      </rPr>
      <t>Laundry Room Signage</t>
    </r>
    <r>
      <rPr>
        <sz val="12"/>
        <rFont val="Calibri"/>
        <family val="2"/>
        <scheme val="minor"/>
      </rPr>
      <t xml:space="preserve">
</t>
    </r>
    <r>
      <rPr>
        <b/>
        <sz val="12"/>
        <rFont val="Calibri"/>
        <family val="2"/>
        <scheme val="minor"/>
      </rPr>
      <t xml:space="preserve">Lettering: </t>
    </r>
    <r>
      <rPr>
        <sz val="12"/>
        <rFont val="Calibri"/>
        <family val="2"/>
        <scheme val="minor"/>
      </rPr>
      <t xml:space="preserve">LAUNDRY ROOM
</t>
    </r>
    <r>
      <rPr>
        <b/>
        <sz val="12"/>
        <rFont val="Calibri"/>
        <family val="2"/>
        <scheme val="minor"/>
      </rPr>
      <t>Size:</t>
    </r>
    <r>
      <rPr>
        <sz val="12"/>
        <rFont val="Calibri"/>
        <family val="2"/>
        <scheme val="minor"/>
      </rPr>
      <t xml:space="preserve"> 8"Wide x 4" High</t>
    </r>
  </si>
  <si>
    <t>5/A9.01</t>
  </si>
  <si>
    <t>9/A9.01</t>
  </si>
  <si>
    <r>
      <rPr>
        <b/>
        <sz val="12"/>
        <rFont val="Calibri"/>
        <family val="2"/>
        <scheme val="minor"/>
      </rPr>
      <t>Stairs Signage</t>
    </r>
    <r>
      <rPr>
        <sz val="12"/>
        <rFont val="Calibri"/>
        <family val="2"/>
        <scheme val="minor"/>
      </rPr>
      <t xml:space="preserve">
</t>
    </r>
    <r>
      <rPr>
        <b/>
        <sz val="12"/>
        <rFont val="Calibri"/>
        <family val="2"/>
        <scheme val="minor"/>
      </rPr>
      <t xml:space="preserve">Lettering: </t>
    </r>
    <r>
      <rPr>
        <sz val="12"/>
        <rFont val="Calibri"/>
        <family val="2"/>
        <scheme val="minor"/>
      </rPr>
      <t xml:space="preserve">STAIR #
</t>
    </r>
    <r>
      <rPr>
        <b/>
        <sz val="12"/>
        <rFont val="Calibri"/>
        <family val="2"/>
        <scheme val="minor"/>
      </rPr>
      <t>Size:</t>
    </r>
    <r>
      <rPr>
        <sz val="12"/>
        <rFont val="Calibri"/>
        <family val="2"/>
        <scheme val="minor"/>
      </rPr>
      <t xml:space="preserve"> 12"Wide x 18" High</t>
    </r>
  </si>
  <si>
    <r>
      <rPr>
        <b/>
        <sz val="12"/>
        <rFont val="Calibri"/>
        <family val="2"/>
        <scheme val="minor"/>
      </rPr>
      <t>Unit Number Signage</t>
    </r>
    <r>
      <rPr>
        <sz val="12"/>
        <rFont val="Calibri"/>
        <family val="2"/>
        <scheme val="minor"/>
      </rPr>
      <t xml:space="preserve">
</t>
    </r>
    <r>
      <rPr>
        <b/>
        <sz val="12"/>
        <rFont val="Calibri"/>
        <family val="2"/>
        <scheme val="minor"/>
      </rPr>
      <t xml:space="preserve">Lettering: </t>
    </r>
    <r>
      <rPr>
        <sz val="12"/>
        <rFont val="Calibri"/>
        <family val="2"/>
        <scheme val="minor"/>
      </rPr>
      <t xml:space="preserve">ROOM #
</t>
    </r>
    <r>
      <rPr>
        <b/>
        <sz val="12"/>
        <rFont val="Calibri"/>
        <family val="2"/>
        <scheme val="minor"/>
      </rPr>
      <t>Size:</t>
    </r>
    <r>
      <rPr>
        <sz val="12"/>
        <rFont val="Calibri"/>
        <family val="2"/>
        <scheme val="minor"/>
      </rPr>
      <t xml:space="preserve"> 5"Wide x 4" High</t>
    </r>
  </si>
  <si>
    <t>4/A9.01</t>
  </si>
  <si>
    <t>A2.01&amp;A2.11</t>
  </si>
  <si>
    <t>Truncated Dome</t>
  </si>
  <si>
    <t>Note:1080/A2.01</t>
  </si>
  <si>
    <t>Note:1104/A2.01</t>
  </si>
  <si>
    <t>Wheel Stop
- Precast Concrete</t>
  </si>
  <si>
    <t>Parking Strips</t>
  </si>
  <si>
    <t>Parking Aisle</t>
  </si>
  <si>
    <t>ADA Symbol</t>
  </si>
  <si>
    <t>Directional Arrows</t>
  </si>
  <si>
    <t>EXPANSION JOINT</t>
  </si>
  <si>
    <t>A2.11</t>
  </si>
  <si>
    <t>Expansion Joints Sub Total</t>
  </si>
  <si>
    <t>3&amp;4/A9.22</t>
  </si>
  <si>
    <t>Seismic Expansion Joint
- EMSEAL-WFR1 Seismic Joint</t>
  </si>
  <si>
    <t>Note:3242/A2.01</t>
  </si>
  <si>
    <t>Note:3330/A2.01</t>
  </si>
  <si>
    <t>Pipe Bollards</t>
  </si>
  <si>
    <t>Trench Drain</t>
  </si>
  <si>
    <t>Lumber Framing</t>
  </si>
  <si>
    <t>Trusses</t>
  </si>
  <si>
    <t>Lumber Sub Total</t>
  </si>
  <si>
    <t>Trusses Sub Total</t>
  </si>
  <si>
    <t>Sales Tax</t>
  </si>
  <si>
    <t>VLF</t>
  </si>
  <si>
    <t>Ladders Sub Total</t>
  </si>
  <si>
    <t>Railings Sub Total</t>
  </si>
  <si>
    <t>03 00 00</t>
  </si>
  <si>
    <t>CONCRETE</t>
  </si>
  <si>
    <t>FOUNDATION PLAN</t>
  </si>
  <si>
    <t>PAD FOOTING</t>
  </si>
  <si>
    <t>F6*
Length: 6'-0"
Width: 6'-0"
Depth: 1'-6"
Count: 01 EA</t>
  </si>
  <si>
    <t>S2</t>
  </si>
  <si>
    <t>Plan</t>
  </si>
  <si>
    <t>Concrete (4000 Psi)</t>
  </si>
  <si>
    <t>CY</t>
  </si>
  <si>
    <t>Formwork (Pad Footing)</t>
  </si>
  <si>
    <t>SFCA</t>
  </si>
  <si>
    <t>Excavation</t>
  </si>
  <si>
    <t>Backfill</t>
  </si>
  <si>
    <t>6 #4 Each Way Top</t>
  </si>
  <si>
    <t>6 #6 Each Way Bottom</t>
  </si>
  <si>
    <t>F7*
Length: 7'-0"
Width: 7'-0"
Depth: 1'-6"
Count: 02 EA</t>
  </si>
  <si>
    <t>6 #7 Each Way Bottom</t>
  </si>
  <si>
    <t>F7
Length: 7'-0"
Width: 7'-0"
Depth: 1'-6"
Count: 03 EA</t>
  </si>
  <si>
    <t>F8
Length: 8'-0"
Width: 8'-0"
Depth: 2'-0"
Count: 01 EA</t>
  </si>
  <si>
    <t>7 #4 Each Way Top</t>
  </si>
  <si>
    <t>7 #7 Each Way Bottom</t>
  </si>
  <si>
    <t>F9*
Length: 9'-0"
Width: 9'-0"
Depth: 2'-0"
Count: 01 EA</t>
  </si>
  <si>
    <t>7 #8 Each Way Bottom</t>
  </si>
  <si>
    <t>F9
Length: 9'-0"
Width: 9'-0"
Depth: 2'-0"
Count: 06 EA</t>
  </si>
  <si>
    <t>F10
Length: 10'-0"
Width: 10'-0"
Depth: 2'-0"
Count: 13 EA</t>
  </si>
  <si>
    <t>9 #4 Each Way Top</t>
  </si>
  <si>
    <t>9 #8 Each Way Bottom</t>
  </si>
  <si>
    <t>F11
Length: 11'-0"
Width: 11'-0"
Depth: 2'-0"
Count: 04 EA</t>
  </si>
  <si>
    <t>9 #9 Each Way Bottom</t>
  </si>
  <si>
    <t>WALL FOOTING</t>
  </si>
  <si>
    <t>Wall Footing 6A/SD1 3'W
Length: 76'-0"
Width: 3'-0"
Depth: 1'-3"</t>
  </si>
  <si>
    <t>6A/SD1</t>
  </si>
  <si>
    <t>Formwork (Wall Footing)</t>
  </si>
  <si>
    <t>4 #5 Cont</t>
  </si>
  <si>
    <t>#6 @ 12" O.C.Transverse Bars</t>
  </si>
  <si>
    <t>Wall Footing 6/SD1 4'W
Length: 125'-0"
Width: 4'-0"
Depth: 1'-3"</t>
  </si>
  <si>
    <t>6/SD1</t>
  </si>
  <si>
    <t>5 #5 Cont</t>
  </si>
  <si>
    <t>Wall Footing 5/SD1 2.5'W
Length: 328'-0"
Width: 2'-6"
Depth: 1'-3"</t>
  </si>
  <si>
    <t>5/SD1</t>
  </si>
  <si>
    <t>3 #5 Cont</t>
  </si>
  <si>
    <t>Wall Footing 4/SD1 3.75'W
Length: 35'-0"
Width: 3'-9"
Depth: 1'-3"</t>
  </si>
  <si>
    <t>4/SD1</t>
  </si>
  <si>
    <t>Wall Footing 3/SD1 3.75'W
Length: 21'-0"
Width: 3'-9"
Depth: 1'-3"</t>
  </si>
  <si>
    <t>3/SD1</t>
  </si>
  <si>
    <t>Wall Footing 2/SD1 3.5'W
Length: 80'-0"
Width: 3'-6"
Depth: 1'-3"</t>
  </si>
  <si>
    <t>2/SD1</t>
  </si>
  <si>
    <t>Wall Footing 7/SD1 3'W
Length: 17'-0"
Width: 3'-0"
Depth: 1'-3"</t>
  </si>
  <si>
    <t>7/SD1</t>
  </si>
  <si>
    <t>Wall Footing 1/SD2 2.5'W
Length: 42'-0"
Width: 2'-6"
Depth: 1'-0"</t>
  </si>
  <si>
    <t>1/SD2</t>
  </si>
  <si>
    <t>#5 @ 12" O.C.Transverse Bars</t>
  </si>
  <si>
    <t>Wall Footing 12" Wide
Length: 14'-0"
Width: 1'-0"
Depth: 2'-0"</t>
  </si>
  <si>
    <t>2 #5 Cont Top and Bottom</t>
  </si>
  <si>
    <t>#5 @ 12" O.C.Dowels</t>
  </si>
  <si>
    <t>Interior Wall Footing 18/S1.2 5'
Length: 70'-0"
Width: 5'-0"
Depth: 1'-2"</t>
  </si>
  <si>
    <t>18/S1.2</t>
  </si>
  <si>
    <t>2 #4 Cont</t>
  </si>
  <si>
    <t>#5 @ 12" O.C.Each Way</t>
  </si>
  <si>
    <t>Interior Wall Footing 18/S1.2 3'
Length: 75'-0"
Width: 3'-0"
Depth: 1'-2"</t>
  </si>
  <si>
    <t>Interior Wall Footing 18/S1.2 4.5'
Length: 94'-0"
Width: 4'-6"
Depth: 1'-2"</t>
  </si>
  <si>
    <t>Interior Wall Footing 18/S1.2 2.5'
Length: 48'-0"
Width: 2'-6"
Depth: 1'-2"</t>
  </si>
  <si>
    <t>Wall Footing 7.25'x9.5'
Length: 9'-6"
Width: 7'-3"
Depth: 1'-2"</t>
  </si>
  <si>
    <t>#5 @ 12" O.C.Each Way Top and Bottom</t>
  </si>
  <si>
    <t>GRADE BEAM</t>
  </si>
  <si>
    <t>GB1
Length: 34'-0"
Width: 2'-0"
Depth: 1'-8"</t>
  </si>
  <si>
    <t>SD3</t>
  </si>
  <si>
    <t>Formwork (Grade Beam)</t>
  </si>
  <si>
    <t xml:space="preserve">4 #8 Cont Top and Bottom </t>
  </si>
  <si>
    <t>#4 @ 10" O.C. Ties</t>
  </si>
  <si>
    <t>S1.2</t>
  </si>
  <si>
    <t>#5 @ 16" O.C. Dowels</t>
  </si>
  <si>
    <t>ELEVATOR MAT</t>
  </si>
  <si>
    <t>9/S1.2</t>
  </si>
  <si>
    <t>Formwork (Mat Footing)</t>
  </si>
  <si>
    <t>#6 @ 12" O.C. Each Way Top and Bottom</t>
  </si>
  <si>
    <t>ELEVATOR TURN DOWN HAUNCH</t>
  </si>
  <si>
    <t>#5 @ 12" O.C. Each Face</t>
  </si>
  <si>
    <t>WALLS</t>
  </si>
  <si>
    <t>Wall 6/SD1
Length: 122'-0"
Thickness: 10"
Height: 12'-0"</t>
  </si>
  <si>
    <t>Shotcrete (3500 Psi)</t>
  </si>
  <si>
    <t>#4 @ 14" O.C.Horizontal Bars Each Face</t>
  </si>
  <si>
    <t>#5 @ 12" O.C.Vertical Bars</t>
  </si>
  <si>
    <t>#6 @ 12" O.C.Vertical Bars</t>
  </si>
  <si>
    <t>#5 @ 12" O.C.Dowels Each Face</t>
  </si>
  <si>
    <t>#5 @ 16" O.C.x 46" Dowels</t>
  </si>
  <si>
    <t>Waterproofing</t>
  </si>
  <si>
    <t>Perforated Drain Pipe</t>
  </si>
  <si>
    <t>12"x12" Gravel Pocket</t>
  </si>
  <si>
    <t>Wall 5/SD1
Length: 338'-0"
Thickness: 10"
Height: 12'-0"</t>
  </si>
  <si>
    <t>Wall 1/SD2
Length: 38'-0"
Thickness: 8"
Height: 12'</t>
  </si>
  <si>
    <t>Formwork (Walls)</t>
  </si>
  <si>
    <t>#4 @ 16" O.C.x 6' Dowels Each Face</t>
  </si>
  <si>
    <t>#4 @ 12" O.C.Each Way Each Face</t>
  </si>
  <si>
    <t>Wall 4/SD1
Length: 35'-0"
Thickness: 10"
Height: 12'-0"</t>
  </si>
  <si>
    <t>Wall 3/SD1
Length: 22'-0"
Thickness: 1'-0" &amp; 1'-2"
Height: 12'</t>
  </si>
  <si>
    <t>#6 @ 14" O.C.Vertical Bars</t>
  </si>
  <si>
    <t>#5 @ 14" O.C.Dowels Each Face</t>
  </si>
  <si>
    <t>#5 @ 12" O.C.x 36" Dowels</t>
  </si>
  <si>
    <t>Wall 2/SD1
Length: 84'-0"
Thickness: 1'-0"
Height: 12'-0"</t>
  </si>
  <si>
    <t>#4 @ 12" O.C.Horizontal Bars Each Face</t>
  </si>
  <si>
    <t>Wall 7/SD1
Length: 22'-0"
Thickness: 10"
Height: 12'-0"</t>
  </si>
  <si>
    <t>Wall 6A/SD1
Length: 91'-0"
Thickness: 10"
Height: 12'-0"</t>
  </si>
  <si>
    <t>Wall 1/SD1
Length: 68'-0"
Thickness: 10"
Height: 12'-0"</t>
  </si>
  <si>
    <t>1/SD1</t>
  </si>
  <si>
    <t>#4 @ 16" O.C.Horizontal Bars Each Face</t>
  </si>
  <si>
    <t>#5 @ 12" O.C.Vertical Bars Each Face</t>
  </si>
  <si>
    <t>#5 @ 10" O.C.Dowels Each Face</t>
  </si>
  <si>
    <t>#5 @ 16" O.C.x 36" Dowels Each Face</t>
  </si>
  <si>
    <t>#5 @ 16" O.C.x 6' Bars</t>
  </si>
  <si>
    <t>Wall CA
Length: 178'-0"
Thickness: 8"
Height: 12'-0"</t>
  </si>
  <si>
    <t>#4 @ 10" O.C.Horizontal Bars Each Face</t>
  </si>
  <si>
    <t>#5 @ 14" O.C.Vertical Bars Each Face</t>
  </si>
  <si>
    <t>2 #5 Vertical at Each end</t>
  </si>
  <si>
    <t>Wall CB
Length: 104'-0"
Thickness: 12"
Height: 12'-0"</t>
  </si>
  <si>
    <t>#5 @ 14" O.C.Horizontal Bars Each Face</t>
  </si>
  <si>
    <t>4 #6 Vertical at Each end</t>
  </si>
  <si>
    <t>#3 @ 4" O.C.Ties</t>
  </si>
  <si>
    <t>8" Thick Interior Walls
Length: 59'-0"
Thickness: 8"
Height: 12'-0"</t>
  </si>
  <si>
    <t>Dowels</t>
  </si>
  <si>
    <t>2/S1.3</t>
  </si>
  <si>
    <t>Vertical Dowels In Walls</t>
  </si>
  <si>
    <t>COLUMNS</t>
  </si>
  <si>
    <t>C1
Length: 3'-0"
Width: 1'-6"
Height: 12'-0"
Count: 02 EA</t>
  </si>
  <si>
    <t>Formwork (Columns)</t>
  </si>
  <si>
    <t>8 #9 Vertical Dowels</t>
  </si>
  <si>
    <t>#4 @ 6" O.C. Ties</t>
  </si>
  <si>
    <t>C2
Length: 2'-0"
Width: 1'-4"
Height: 12'-0"
Count: 26 EA</t>
  </si>
  <si>
    <t>6 #9 Vertical Dowels</t>
  </si>
  <si>
    <t>#4 @ 5" O.C.Ties</t>
  </si>
  <si>
    <t>C4
Diameter: 1'-0"
Height: 12'-0"
Count: 01 EA</t>
  </si>
  <si>
    <t>Formwork (Columns-Circular)</t>
  </si>
  <si>
    <t>4 #8 Vertical Dowels</t>
  </si>
  <si>
    <t>#3 @ 5" O.C.Ties</t>
  </si>
  <si>
    <t>SLAB ON GRADE</t>
  </si>
  <si>
    <t>4" Thick Slab on Grade (2500 Psi)</t>
  </si>
  <si>
    <t>#4 @ 16" O.C. Each Way</t>
  </si>
  <si>
    <t>4" Edge Form</t>
  </si>
  <si>
    <t>Control Joint</t>
  </si>
  <si>
    <t>Expansion Joint</t>
  </si>
  <si>
    <t>15 Mil Vapor Barrier</t>
  </si>
  <si>
    <t>4" Aggregate Base</t>
  </si>
  <si>
    <t xml:space="preserve">Thickened Edge </t>
  </si>
  <si>
    <t>Concrete (2500 Psi)</t>
  </si>
  <si>
    <t>Column Isolation Joints</t>
  </si>
  <si>
    <t>#4 U-Bent Bars</t>
  </si>
  <si>
    <t>#5 U-Bent Bars</t>
  </si>
  <si>
    <t>TRENCH DRAIN</t>
  </si>
  <si>
    <t>14/S1.2</t>
  </si>
  <si>
    <t>Formwork (Trench Drain)</t>
  </si>
  <si>
    <t>#4 @ 16" O.C. Dowels</t>
  </si>
  <si>
    <t>DEPRESSION IN SLAB</t>
  </si>
  <si>
    <t>9/SD1</t>
  </si>
  <si>
    <t>Formwork (Depression)</t>
  </si>
  <si>
    <t>#4 Cont</t>
  </si>
  <si>
    <t>STRUCTURAL SLAB - 1ST FLOOR</t>
  </si>
  <si>
    <t>10" THICK STRUCTURAL SLAB</t>
  </si>
  <si>
    <t>S3.1</t>
  </si>
  <si>
    <t>10" Thick Slab (4000 Psi)</t>
  </si>
  <si>
    <t>10" Edge Form</t>
  </si>
  <si>
    <t>Underslab Formwork/Shoring</t>
  </si>
  <si>
    <t>#6 @ 18" O.C. Each Way Top and Bottom</t>
  </si>
  <si>
    <t>10" THICK RAMP SLAB</t>
  </si>
  <si>
    <t>#6 @ 16" O.C.Bottom. #5 @ 16" O.C. Each Way Top</t>
  </si>
  <si>
    <t>18" THICK SLAB</t>
  </si>
  <si>
    <t>18" Thick Slab (4000 Psi)</t>
  </si>
  <si>
    <t>18" Edge Form</t>
  </si>
  <si>
    <t>12" THICK SLAB</t>
  </si>
  <si>
    <t>12" Thick Slab (4000 Psi)</t>
  </si>
  <si>
    <t>12" Edge Form</t>
  </si>
  <si>
    <t>17/S1.4</t>
  </si>
  <si>
    <t>#3 @ 18" O.C. Ties</t>
  </si>
  <si>
    <t>ADDITIONAL REBAR 1ST FLOOR</t>
  </si>
  <si>
    <t>S3.1-2</t>
  </si>
  <si>
    <t xml:space="preserve">Additional Rebar
- Refer to "ADDITIONAL REBAR" Tab For Detailed Takeoff </t>
  </si>
  <si>
    <t>S1.3</t>
  </si>
  <si>
    <t>2 #6 Cont</t>
  </si>
  <si>
    <t>#3 @ 9" O.C. Ties</t>
  </si>
  <si>
    <t>S1.4</t>
  </si>
  <si>
    <t>CMU Dowels</t>
  </si>
  <si>
    <t>DROP PANELS</t>
  </si>
  <si>
    <t>6/S1.2</t>
  </si>
  <si>
    <t>Formwork (Drop Panels)</t>
  </si>
  <si>
    <t>#5 @ 10" O.C. Each Way</t>
  </si>
  <si>
    <t>BEAMS</t>
  </si>
  <si>
    <t>CB7
Length: 15'-0"
Width: 10"
Depth: 12"</t>
  </si>
  <si>
    <t>Formwork (Beams)</t>
  </si>
  <si>
    <t>6 #6 Cont</t>
  </si>
  <si>
    <t>#3 @ 5" O.C.Stirrups</t>
  </si>
  <si>
    <t>CB8 
Length: 31'-0"
Width: 3'-0"
Depth: 2'-6"</t>
  </si>
  <si>
    <t>4 #8 Cont, 4 #8 x 24'</t>
  </si>
  <si>
    <t>7 #9 Cont</t>
  </si>
  <si>
    <t>#4 @ 6",12" Stirrups</t>
  </si>
  <si>
    <t>CB9
Length: 5'-0"
Width: 8"
Depth: 3'-6"</t>
  </si>
  <si>
    <t>4 #9 Cont</t>
  </si>
  <si>
    <t>#4 @ 4" O.C.Ties</t>
  </si>
  <si>
    <t>CURB</t>
  </si>
  <si>
    <t>Formwork (Curb)</t>
  </si>
  <si>
    <t>DEPRESSION IN STRUCTURAL SLAB</t>
  </si>
  <si>
    <t>Depression In Structural Slab</t>
  </si>
  <si>
    <t>Wall CA
Length: 165'-0"
Thickness: 8"
Height: 10'-0"</t>
  </si>
  <si>
    <t>2 #5 Vertical at Each End</t>
  </si>
  <si>
    <t>#5 @ 12" O.C. Dowels Each Face</t>
  </si>
  <si>
    <t>#5 @ 16" O.C. x  46" Dowels</t>
  </si>
  <si>
    <t>Wall CB
Length: 322'-0"
Thickness: 12"
Height: 10'-0"</t>
  </si>
  <si>
    <t>4 #6 Vertical at Each End</t>
  </si>
  <si>
    <t>#5 @ 16" O.C. x 46" Dowels</t>
  </si>
  <si>
    <t>#3 @ 4" O.C. Ties</t>
  </si>
  <si>
    <t>Wall CD
Length: 43'-0"
Thickness: 12"
Height: 10'-0"</t>
  </si>
  <si>
    <t>#6 @ 11" O.C.Each Way Each Face</t>
  </si>
  <si>
    <t>6 #6 Vertical at Each End</t>
  </si>
  <si>
    <t>#5 @ 16" O.C .x  46" Dowels</t>
  </si>
  <si>
    <t>#4 @ 4" O.C. Ties</t>
  </si>
  <si>
    <t>C1
Length: 3'-0"
Width: 1'-6"
Height: 10'-0"
Count: 01 EA</t>
  </si>
  <si>
    <t>C2
Length: 2'-0"
Width: 1'-4"
Height: 10'-0"
Count: 07 EA</t>
  </si>
  <si>
    <t>#4 @ 5" O.C. Ties</t>
  </si>
  <si>
    <t>C3
Length: 3'-6"
Width: 0'-10"
Height: 10'-0"
Count: 04 EA</t>
  </si>
  <si>
    <t>8 #7 Vertical Dowels</t>
  </si>
  <si>
    <t>#3 @ 5" O.C. Ties</t>
  </si>
  <si>
    <t>C4
Diameter:1'
Height:10'
Count:1 EA</t>
  </si>
  <si>
    <t>C7
Length: 3'-0"
Width: 0'-8"
Height: 10'-0"
Count: 02 EA</t>
  </si>
  <si>
    <t>8 #6 Vertical Dowels</t>
  </si>
  <si>
    <t>C8
Length: 1'-0"
Width: 1'-0"
Height: 10'-0"
Count: 02 EA</t>
  </si>
  <si>
    <t>#3 @ 6" O.C. Ties</t>
  </si>
  <si>
    <t>C9
Length: 1'-0"
Width: 0'-10"
Height: 10'-0"
Count: 04 EA</t>
  </si>
  <si>
    <t>4 #7 Vertical Dowels</t>
  </si>
  <si>
    <t>STRUCTURAL SLAB - 2ND FLOOR</t>
  </si>
  <si>
    <t>S4.1</t>
  </si>
  <si>
    <t>#6 @ 18" O.C.Each Way Top and Bottom</t>
  </si>
  <si>
    <t>#3 @ 18" O.C.Ties</t>
  </si>
  <si>
    <t>ADDITIONAL REBAR 2ND FLOOR</t>
  </si>
  <si>
    <t>S4.1-2</t>
  </si>
  <si>
    <t>#3 @ 9" O.C.Ties</t>
  </si>
  <si>
    <t>CB1
Length: 45'-0'
Width: 10"
Depth: 2'-0"</t>
  </si>
  <si>
    <t>2 #8 Cont</t>
  </si>
  <si>
    <t>#4 @ 4",8" O.C.Stirrups</t>
  </si>
  <si>
    <t>CB2 
Length: 14'-0"
Width: 1'-0"
Depth: 2'-0"</t>
  </si>
  <si>
    <t>2 #7 Cont</t>
  </si>
  <si>
    <t>CB3 
Length: 22'-0"
Width: 1'-0"
Depth: 1'-8"</t>
  </si>
  <si>
    <t>2 #8 Cont Top and Bottom</t>
  </si>
  <si>
    <t>CB4
Length: 11'-0"
Width: 1'-0"
Depth: 1'-8"</t>
  </si>
  <si>
    <t>2 #7 Cont, 2 #8 Cont</t>
  </si>
  <si>
    <t>CB5 
Length: 27'-0"
Width: 1'-0"
Depth: 2'-6"</t>
  </si>
  <si>
    <t>3 #9 Cont</t>
  </si>
  <si>
    <t>2 #8 x 24</t>
  </si>
  <si>
    <t>CB6
Length: 22'-0"
Width: 1'-0"
Depth: 2'-6"</t>
  </si>
  <si>
    <t>CB7
Length: 11'-0"
Width: 10"
Depth: 12"</t>
  </si>
  <si>
    <t>#3 @ 5" O.C. Stirrups</t>
  </si>
  <si>
    <t>Beam 10x48
Length: 12'-0"
Width: 10"
Depth: 4'-0"</t>
  </si>
  <si>
    <t>CONCRETE TOPPING AT PLANTER AREAS</t>
  </si>
  <si>
    <t>S4.3</t>
  </si>
  <si>
    <t>6/L4.20</t>
  </si>
  <si>
    <r>
      <t xml:space="preserve">Concrete (4000 Psi) Topping at Planter Areas 
</t>
    </r>
    <r>
      <rPr>
        <b/>
        <sz val="12"/>
        <rFont val="Calibri"/>
        <family val="2"/>
        <scheme val="minor"/>
      </rPr>
      <t>- Assumed Thickness: 3"</t>
    </r>
  </si>
  <si>
    <t>CONCRETE STAIRS</t>
  </si>
  <si>
    <t>S2-4.1</t>
  </si>
  <si>
    <t>SD2</t>
  </si>
  <si>
    <t>#4 @ 8" O.C.Bars</t>
  </si>
  <si>
    <t>#5 @ 16" O.C.Bars</t>
  </si>
  <si>
    <t>Formwork (Stairs)</t>
  </si>
  <si>
    <t>Extra Labor For Stairs</t>
  </si>
  <si>
    <t>Drilled Dowels</t>
  </si>
  <si>
    <t>STAIR LANDING</t>
  </si>
  <si>
    <t>8" Thick Concrete (4000 Psi) Landing</t>
  </si>
  <si>
    <t>8" Edge Form</t>
  </si>
  <si>
    <t>#5 @ 12" O.C.</t>
  </si>
  <si>
    <t>#5 @ 8" O.C.</t>
  </si>
  <si>
    <t>3 #5 Cont. Bar</t>
  </si>
  <si>
    <t>3 #6 Cont Bar</t>
  </si>
  <si>
    <t xml:space="preserve"> Concrete Sub Total</t>
  </si>
  <si>
    <t>Exclusions</t>
  </si>
  <si>
    <r>
      <rPr>
        <b/>
        <sz val="12"/>
        <rFont val="Calibri"/>
        <family val="2"/>
        <scheme val="minor"/>
      </rPr>
      <t>Roof/Ceiling Assembly - 2 As;</t>
    </r>
    <r>
      <rPr>
        <sz val="12"/>
        <rFont val="Calibri"/>
        <family val="2"/>
        <scheme val="minor"/>
      </rPr>
      <t xml:space="preserve">
- (1) Layer of 5/8" Type"X" Gypsum Board Ceiling
- 1/2" Resilient Channels
- 8" Thk R-19 Batt Insulation</t>
    </r>
  </si>
  <si>
    <r>
      <t xml:space="preserve">Dryer
</t>
    </r>
    <r>
      <rPr>
        <b/>
        <sz val="12"/>
        <rFont val="Calibri"/>
        <family val="2"/>
        <scheme val="minor"/>
      </rPr>
      <t>Assumed Supplier &amp; Specification:</t>
    </r>
    <r>
      <rPr>
        <sz val="12"/>
        <rFont val="Calibri"/>
        <family val="2"/>
        <scheme val="minor"/>
      </rPr>
      <t xml:space="preserve">
ELECTROLUX EFMG617STT 
27” 8CF Steam 9 Cycles, Moisture 
Sensor, Painted Grey Drum</t>
    </r>
  </si>
  <si>
    <r>
      <t xml:space="preserve">Washer
</t>
    </r>
    <r>
      <rPr>
        <b/>
        <sz val="12"/>
        <rFont val="Calibri"/>
        <family val="2"/>
        <scheme val="minor"/>
      </rPr>
      <t>Assumed Supplier &amp; Specification:</t>
    </r>
    <r>
      <rPr>
        <sz val="12"/>
        <rFont val="Calibri"/>
        <family val="2"/>
        <scheme val="minor"/>
      </rPr>
      <t xml:space="preserve">
ELECTROLUX EFLS617STT 
27” 4.4CF Energy Star STEAM 9 Cycles‐ 
LuxCare Wash w/Smartboost‐SS 
Tub‐ Stain Soak </t>
    </r>
  </si>
  <si>
    <r>
      <t xml:space="preserve">Dishwasher
</t>
    </r>
    <r>
      <rPr>
        <b/>
        <sz val="12"/>
        <rFont val="Calibri"/>
        <family val="2"/>
        <scheme val="minor"/>
      </rPr>
      <t>Assumed Supplier &amp; Specification:</t>
    </r>
    <r>
      <rPr>
        <sz val="12"/>
        <rFont val="Calibri"/>
        <family val="2"/>
        <scheme val="minor"/>
      </rPr>
      <t xml:space="preserve">
MIELE Panel Ready 
Futura Diamond Series Dishwasher 
G6985SCVIK2O-MD </t>
    </r>
  </si>
  <si>
    <r>
      <t xml:space="preserve">Cooking Range
</t>
    </r>
    <r>
      <rPr>
        <b/>
        <sz val="12"/>
        <rFont val="Calibri"/>
        <family val="2"/>
        <scheme val="minor"/>
      </rPr>
      <t>Assumed</t>
    </r>
    <r>
      <rPr>
        <sz val="12"/>
        <rFont val="Calibri"/>
        <family val="2"/>
        <scheme val="minor"/>
      </rPr>
      <t xml:space="preserve"> </t>
    </r>
    <r>
      <rPr>
        <b/>
        <sz val="12"/>
        <rFont val="Calibri"/>
        <family val="2"/>
        <scheme val="minor"/>
      </rPr>
      <t>Supplier &amp; Specification:</t>
    </r>
    <r>
      <rPr>
        <sz val="12"/>
        <rFont val="Calibri"/>
        <family val="2"/>
        <scheme val="minor"/>
      </rPr>
      <t xml:space="preserve">
MIELE 
KMR1355 
48 Inch Pro-Style Gas Rangetop</t>
    </r>
  </si>
  <si>
    <r>
      <t xml:space="preserve">Hood
</t>
    </r>
    <r>
      <rPr>
        <b/>
        <sz val="12"/>
        <rFont val="Calibri"/>
        <family val="2"/>
        <scheme val="minor"/>
      </rPr>
      <t>Assumed</t>
    </r>
    <r>
      <rPr>
        <sz val="12"/>
        <rFont val="Calibri"/>
        <family val="2"/>
        <scheme val="minor"/>
      </rPr>
      <t xml:space="preserve"> </t>
    </r>
    <r>
      <rPr>
        <b/>
        <sz val="12"/>
        <rFont val="Calibri"/>
        <family val="2"/>
        <scheme val="minor"/>
      </rPr>
      <t>Supplier &amp; Specification:</t>
    </r>
    <r>
      <rPr>
        <sz val="12"/>
        <rFont val="Calibri"/>
        <family val="2"/>
        <scheme val="minor"/>
      </rPr>
      <t xml:space="preserve">
MODERN‐AIRE PSL‐346‐SS 
46‐3/8”W HOOD LINER W/ 1200CFM 
(3HALOGEN LIGHTS) </t>
    </r>
  </si>
  <si>
    <r>
      <t xml:space="preserve">Refrigerator
</t>
    </r>
    <r>
      <rPr>
        <b/>
        <sz val="12"/>
        <rFont val="Calibri"/>
        <family val="2"/>
        <scheme val="minor"/>
      </rPr>
      <t>Assumed</t>
    </r>
    <r>
      <rPr>
        <sz val="12"/>
        <rFont val="Calibri"/>
        <family val="2"/>
        <scheme val="minor"/>
      </rPr>
      <t xml:space="preserve"> </t>
    </r>
    <r>
      <rPr>
        <b/>
        <sz val="12"/>
        <rFont val="Calibri"/>
        <family val="2"/>
        <scheme val="minor"/>
      </rPr>
      <t>Supplier &amp; Specification:</t>
    </r>
    <r>
      <rPr>
        <sz val="12"/>
        <rFont val="Calibri"/>
        <family val="2"/>
        <scheme val="minor"/>
      </rPr>
      <t xml:space="preserve">
MIELE 
K1903VI 36” ALL REFRIGERATOR, 
RIGHT HINGED, FULLY INTEGRATED </t>
    </r>
  </si>
  <si>
    <r>
      <t xml:space="preserve">Microwave Oven
</t>
    </r>
    <r>
      <rPr>
        <b/>
        <sz val="12"/>
        <rFont val="Calibri"/>
        <family val="2"/>
        <scheme val="minor"/>
      </rPr>
      <t>Assumed</t>
    </r>
    <r>
      <rPr>
        <sz val="12"/>
        <rFont val="Calibri"/>
        <family val="2"/>
        <scheme val="minor"/>
      </rPr>
      <t xml:space="preserve"> </t>
    </r>
    <r>
      <rPr>
        <b/>
        <sz val="12"/>
        <rFont val="Calibri"/>
        <family val="2"/>
        <scheme val="minor"/>
      </rPr>
      <t>Supplier &amp; Specification:</t>
    </r>
    <r>
      <rPr>
        <sz val="12"/>
        <rFont val="Calibri"/>
        <family val="2"/>
        <scheme val="minor"/>
      </rPr>
      <t xml:space="preserve">
MIELE DG 6500 Built-in steam oven </t>
    </r>
  </si>
  <si>
    <r>
      <t>Trash Bin</t>
    </r>
    <r>
      <rPr>
        <b/>
        <sz val="12"/>
        <rFont val="Calibri"/>
        <family val="2"/>
        <scheme val="minor"/>
      </rPr>
      <t/>
    </r>
  </si>
  <si>
    <t>Specs Assumed</t>
  </si>
  <si>
    <t>Steel Framing Sub Total</t>
  </si>
  <si>
    <t>EXCLUSIONS</t>
  </si>
  <si>
    <t>Loose Furntiure</t>
  </si>
  <si>
    <r>
      <rPr>
        <b/>
        <sz val="12"/>
        <rFont val="Calibri"/>
        <family val="2"/>
        <scheme val="minor"/>
      </rPr>
      <t>Floor/Ceiling Assembly - 1 As;</t>
    </r>
    <r>
      <rPr>
        <sz val="12"/>
        <rFont val="Calibri"/>
        <family val="2"/>
        <scheme val="minor"/>
      </rPr>
      <t xml:space="preserve">
- (1) Layers of 5/8" Type"X" Gypsum Board Ceiling
- 1/2" Resilient Channels
- 12" Thk R-19 Batt Insulation</t>
    </r>
  </si>
  <si>
    <r>
      <rPr>
        <b/>
        <sz val="12"/>
        <rFont val="Calibri"/>
        <family val="2"/>
        <scheme val="minor"/>
      </rPr>
      <t>Floor/Ceiling Assembly - 3 As;</t>
    </r>
    <r>
      <rPr>
        <sz val="12"/>
        <rFont val="Calibri"/>
        <family val="2"/>
        <scheme val="minor"/>
      </rPr>
      <t xml:space="preserve">
- 7/8" Exterior Cement Plaster O/
- Lath O/ 
- (2) Layers Building Papers</t>
    </r>
  </si>
  <si>
    <r>
      <rPr>
        <b/>
        <sz val="12"/>
        <rFont val="Calibri"/>
        <family val="2"/>
        <scheme val="minor"/>
      </rPr>
      <t>Floor/Ceiling Assembly - 3 As;</t>
    </r>
    <r>
      <rPr>
        <sz val="12"/>
        <rFont val="Calibri"/>
        <family val="2"/>
        <scheme val="minor"/>
      </rPr>
      <t xml:space="preserve">
- (1) Layer of 5/8" Type"X" Exterior Gypsum Board Ceiling</t>
    </r>
  </si>
  <si>
    <t>31 00 0</t>
  </si>
  <si>
    <t>EARTHWORKS</t>
  </si>
  <si>
    <t>GRADING</t>
  </si>
  <si>
    <t>CLEAR AND GRUB</t>
  </si>
  <si>
    <r>
      <t xml:space="preserve">Clear and Grubbing 
</t>
    </r>
    <r>
      <rPr>
        <b/>
        <sz val="12"/>
        <rFont val="Calibri"/>
        <family val="2"/>
        <scheme val="minor"/>
      </rPr>
      <t>-0.85 Acres</t>
    </r>
  </si>
  <si>
    <t>TOPSOIL STRIPPING</t>
  </si>
  <si>
    <t>C-3</t>
  </si>
  <si>
    <r>
      <t xml:space="preserve">3" Topsoil Stripping </t>
    </r>
    <r>
      <rPr>
        <b/>
        <sz val="12"/>
        <rFont val="Calibri"/>
        <family val="2"/>
        <scheme val="minor"/>
      </rPr>
      <t>(Assumed)</t>
    </r>
  </si>
  <si>
    <t>SHORING</t>
  </si>
  <si>
    <t>SH-2</t>
  </si>
  <si>
    <t>SH-3</t>
  </si>
  <si>
    <r>
      <t xml:space="preserve">Drill &amp; Excavate 24" Shafts
</t>
    </r>
    <r>
      <rPr>
        <b/>
        <sz val="12"/>
        <rFont val="Calibri"/>
        <family val="2"/>
        <scheme val="minor"/>
      </rPr>
      <t>Depth: 32'-0"
Counts: 90 EA</t>
    </r>
  </si>
  <si>
    <r>
      <t xml:space="preserve">W16x57 Soldier Beam
</t>
    </r>
    <r>
      <rPr>
        <b/>
        <sz val="12"/>
        <rFont val="Calibri"/>
        <family val="2"/>
        <scheme val="minor"/>
      </rPr>
      <t>Depth: 32'-0"
Counts: 90 EA</t>
    </r>
  </si>
  <si>
    <t>Concrete (3000 Psi)</t>
  </si>
  <si>
    <t>3 x Treated Lagging</t>
  </si>
  <si>
    <t>4 x Treated Lagging</t>
  </si>
  <si>
    <t>Torching Holes In Soldier Beams For Wall Rebars Installation</t>
  </si>
  <si>
    <t>LOC</t>
  </si>
  <si>
    <t>MASS GRADING</t>
  </si>
  <si>
    <t>Mass Excavation For Building Footprint</t>
  </si>
  <si>
    <t>C-5</t>
  </si>
  <si>
    <t>Cut To Achieve Required Grade</t>
  </si>
  <si>
    <t>Fill To Achieve Required Grade</t>
  </si>
  <si>
    <t>HAUL AWAY DIRT</t>
  </si>
  <si>
    <t xml:space="preserve">Haul Away of Extra Dirt
- 10 CY Truck </t>
  </si>
  <si>
    <t>TRUCKS</t>
  </si>
  <si>
    <t>Note: No Geotechnical report was available for this project.</t>
  </si>
  <si>
    <t>EROSION &amp; SEDIMENT CONTROL FOR ROUGH GRADING</t>
  </si>
  <si>
    <t>SILT FENCE</t>
  </si>
  <si>
    <t>C-12</t>
  </si>
  <si>
    <t>Silt Fence</t>
  </si>
  <si>
    <t>GRAVEL BAGS</t>
  </si>
  <si>
    <t xml:space="preserve">Gravel Bags </t>
  </si>
  <si>
    <t>DEWATERING DEVICE</t>
  </si>
  <si>
    <t>Dewatering Device</t>
  </si>
  <si>
    <t>TRASH CONTAINER</t>
  </si>
  <si>
    <t>Trash Container</t>
  </si>
  <si>
    <t>ENCLOSED CONTAINER</t>
  </si>
  <si>
    <t>Enclosed Container</t>
  </si>
  <si>
    <t>CONSTRUCTION ENTRANCE</t>
  </si>
  <si>
    <t>Construction Entrance</t>
  </si>
  <si>
    <t>EROSION &amp; SEDIMENT CONTROL FOR PRECISE GRADING</t>
  </si>
  <si>
    <t>C-13</t>
  </si>
  <si>
    <t xml:space="preserve">Silt Fence </t>
  </si>
  <si>
    <t>Gravel Bags</t>
  </si>
  <si>
    <t>Construction Entrance CASQA TC-1</t>
  </si>
  <si>
    <t>INLET PROTECTION</t>
  </si>
  <si>
    <t>Storm Drain Inlet Protection</t>
  </si>
  <si>
    <t>Note: It shows that we are modifying the E&amp;SC items for precise grading so we are assuming that items from the rough grading phase will stay and we will price only the items which are increased or modified for precise grading phase, Please confirm.</t>
  </si>
  <si>
    <t>Earthwork Sub Total</t>
  </si>
  <si>
    <t>32 00 0</t>
  </si>
  <si>
    <t>EXTERIOR IMPROVEMENTS</t>
  </si>
  <si>
    <t>SITE DEMOLITIONS</t>
  </si>
  <si>
    <t>C2</t>
  </si>
  <si>
    <t>Removal Of Trees</t>
  </si>
  <si>
    <t>Remove Ex CMU Block Wall</t>
  </si>
  <si>
    <t>Removal Of Chainlink Fence</t>
  </si>
  <si>
    <t>Removal Of Light Pole And Base</t>
  </si>
  <si>
    <t>Cap Ex. Sewer Lateral</t>
  </si>
  <si>
    <t>Removal Of Conc. Driveway And Walkways</t>
  </si>
  <si>
    <t>Removal Of Wood Fence</t>
  </si>
  <si>
    <t>Cap Gas Service And Remove Gas Meter</t>
  </si>
  <si>
    <t>Remove Ex Cmu Block Wall</t>
  </si>
  <si>
    <t>Removal Of Stairs</t>
  </si>
  <si>
    <t>Cap Ex. Water</t>
  </si>
  <si>
    <t>Demolition Of Single Story Structure And Foundation</t>
  </si>
  <si>
    <t>Remove Ex. Landscape Elements(Shrubs,Trees,And Planters)</t>
  </si>
  <si>
    <t>Remove Ex. Water Line And Ex. Water Meter</t>
  </si>
  <si>
    <t>Sheet-01</t>
  </si>
  <si>
    <t>Remove Ex. Firehydrant</t>
  </si>
  <si>
    <t>Remove Ex. Water Meter</t>
  </si>
  <si>
    <t>Sheet-02</t>
  </si>
  <si>
    <t>Remove Ex. 8" Vcp Sewer</t>
  </si>
  <si>
    <t>Sheet-03</t>
  </si>
  <si>
    <t>Remove Landscape Elements</t>
  </si>
  <si>
    <t>Remove Ex. Intersection</t>
  </si>
  <si>
    <t>Remove Ex. Asphalt Concrete Pavement</t>
  </si>
  <si>
    <t>Remove Ex. Curb And Gutter</t>
  </si>
  <si>
    <t>Remove Ex. Concrete Driveway And Sidewalk</t>
  </si>
  <si>
    <t>Remove Gutter</t>
  </si>
  <si>
    <t>Haul Away of Demolished Items</t>
  </si>
  <si>
    <t>PROTECTIONS</t>
  </si>
  <si>
    <t>Allowance For Protection of Following Items</t>
  </si>
  <si>
    <t>Protect Ex. Sign</t>
  </si>
  <si>
    <t>Sheet-04</t>
  </si>
  <si>
    <t>Protect Ex. Utility Pole</t>
  </si>
  <si>
    <t>Protect Ex. Water Meter</t>
  </si>
  <si>
    <t>ABANDON EXISTING UTILITIES</t>
  </si>
  <si>
    <t>Cut &amp; Abandon 6" CIP Water Main</t>
  </si>
  <si>
    <t>Cut &amp; Abandon 4" CIP Water Main</t>
  </si>
  <si>
    <t>REMOVE AND REPLACE OF PAVEMENT FOR UTILTIES</t>
  </si>
  <si>
    <t xml:space="preserve">Sawcut Pavements </t>
  </si>
  <si>
    <t>Sawcut Pavement, Remove And Replace For Utilities</t>
  </si>
  <si>
    <t>Grind and Overlay Asphalt Pavement
- Thickness: 2"</t>
  </si>
  <si>
    <t>Site Demolitions Sub Total</t>
  </si>
  <si>
    <t xml:space="preserve">ASPHALT PAVEMENT </t>
  </si>
  <si>
    <t>Sheet-3</t>
  </si>
  <si>
    <t>5" Asphaltic Concrete Pavement</t>
  </si>
  <si>
    <t>9" Aggregate Base</t>
  </si>
  <si>
    <t>Compacted Subgrade</t>
  </si>
  <si>
    <t>Asphalt Pavement Sub Total</t>
  </si>
  <si>
    <t>CONCRETE PAVEMENT</t>
  </si>
  <si>
    <t>L1.01</t>
  </si>
  <si>
    <t>6" Thick PCC Pavement</t>
  </si>
  <si>
    <t xml:space="preserve">#3 Bars @ 18" OC </t>
  </si>
  <si>
    <t>Sawcut Control Joint</t>
  </si>
  <si>
    <t>6" Edge Form</t>
  </si>
  <si>
    <t>Note: we have assumed details for concrete pavement.</t>
  </si>
  <si>
    <t>Concrete Pavement Sub Total</t>
  </si>
  <si>
    <t>CONCRETE PAVERS</t>
  </si>
  <si>
    <t>L0.01</t>
  </si>
  <si>
    <t>Natural Grey Concrete Pavers</t>
  </si>
  <si>
    <t>4" Thick PCC Concrete (4000 Psi)</t>
  </si>
  <si>
    <t xml:space="preserve">Note: We have assumed details for concrete paver base. </t>
  </si>
  <si>
    <t>Concrete Pavers Sub Total</t>
  </si>
  <si>
    <t>CONCRETE SIDEWALK</t>
  </si>
  <si>
    <t>A/C6</t>
  </si>
  <si>
    <t>4" Thick PCC Concrete (4000 Psi) Sidewalk</t>
  </si>
  <si>
    <t>Concrete Sidewalk Sub Total</t>
  </si>
  <si>
    <t>CURBS &amp; GUTTERS</t>
  </si>
  <si>
    <t xml:space="preserve"> A1-6</t>
  </si>
  <si>
    <t>6" Concrete Curb 6" Below Grade 
-Top width 6" 
-Bottom Width 9"</t>
  </si>
  <si>
    <t>A3-6</t>
  </si>
  <si>
    <t>6" Concrete Curb &amp; 24" Gutter Repair</t>
  </si>
  <si>
    <t>8" Concrete Curb &amp; 24" Gutter Repair</t>
  </si>
  <si>
    <t>Sheet-2</t>
  </si>
  <si>
    <t>Construct Longitudinal Gutter 36'' wide</t>
  </si>
  <si>
    <t>Curbs and Gutter Sub Total</t>
  </si>
  <si>
    <t>TRANSFORMER PAD</t>
  </si>
  <si>
    <t>4" Thick Concrete Pad (4000 Psi)</t>
  </si>
  <si>
    <t xml:space="preserve">Note: We have assumed details for transformer pad. </t>
  </si>
  <si>
    <t>Transformer Pad Sub Total</t>
  </si>
  <si>
    <t>PAVING</t>
  </si>
  <si>
    <t>L1.00-01</t>
  </si>
  <si>
    <t>8/L1.21</t>
  </si>
  <si>
    <r>
      <t xml:space="preserve">P-101 - Natural Grey Concrete
</t>
    </r>
    <r>
      <rPr>
        <b/>
        <sz val="12"/>
        <rFont val="Calibri"/>
        <family val="2"/>
        <scheme val="minor"/>
      </rPr>
      <t>- Color: Natural Grey</t>
    </r>
  </si>
  <si>
    <t>2/L1.20</t>
  </si>
  <si>
    <r>
      <t xml:space="preserve">P-102 - Stabilized Decomposed Granite
</t>
    </r>
    <r>
      <rPr>
        <b/>
        <sz val="12"/>
        <rFont val="Calibri"/>
        <family val="2"/>
        <scheme val="minor"/>
      </rPr>
      <t>- Color: Desert Gold</t>
    </r>
    <r>
      <rPr>
        <sz val="12"/>
        <rFont val="Calibri"/>
        <family val="2"/>
        <scheme val="minor"/>
      </rPr>
      <t xml:space="preserve">
</t>
    </r>
    <r>
      <rPr>
        <b/>
        <sz val="12"/>
        <rFont val="Calibri"/>
        <family val="2"/>
        <scheme val="minor"/>
      </rPr>
      <t>- Manufacturer: Southwest Boulder (760)342-5522</t>
    </r>
  </si>
  <si>
    <t>Rigid Insulation</t>
  </si>
  <si>
    <t>1/L1.20</t>
  </si>
  <si>
    <r>
      <t xml:space="preserve">P-103A - Durasafe Premium95 Resilient Tile - A 
</t>
    </r>
    <r>
      <rPr>
        <b/>
        <sz val="12"/>
        <rFont val="Calibri"/>
        <family val="2"/>
        <scheme val="minor"/>
      </rPr>
      <t>- 3.25" Thickness
- Color: Denim
- Manufacturer: Sofsurfaces (519) 882 8799</t>
    </r>
  </si>
  <si>
    <r>
      <t xml:space="preserve">P-103B - Durasafe Premium95 Resilient Tile - B
</t>
    </r>
    <r>
      <rPr>
        <b/>
        <sz val="12"/>
        <rFont val="Calibri"/>
        <family val="2"/>
        <scheme val="minor"/>
      </rPr>
      <t>- 3.25" Thickness
- Color: Sedona
- Manufacturer: Sofsurfaces (519) 882 8799</t>
    </r>
  </si>
  <si>
    <r>
      <t xml:space="preserve">P-103C - Durasafe Premium95 Resilient Tile - C
</t>
    </r>
    <r>
      <rPr>
        <b/>
        <sz val="12"/>
        <rFont val="Calibri"/>
        <family val="2"/>
        <scheme val="minor"/>
      </rPr>
      <t>- 3.25" Thickness
- Color: Sangria
- Manufacturer: Sofsurfaces (519) 882 8799</t>
    </r>
  </si>
  <si>
    <r>
      <t xml:space="preserve">P-103D - Durasafe Premium95 Resilient Tile - D
</t>
    </r>
    <r>
      <rPr>
        <b/>
        <sz val="12"/>
        <rFont val="Calibri"/>
        <family val="2"/>
        <scheme val="minor"/>
      </rPr>
      <t>- 3.25" Thickness
- Color: Azure
- Manufacturer: Sofsurfaces (519) 882 8799</t>
    </r>
  </si>
  <si>
    <t>L1.02-03</t>
  </si>
  <si>
    <t>SCH-L0.01</t>
  </si>
  <si>
    <t>Note: All these pavings are on depressed slab</t>
  </si>
  <si>
    <t>Paving Sub Total</t>
  </si>
  <si>
    <t>WALLS AND CURBS</t>
  </si>
  <si>
    <t>WALL TYPE W-101 (42"H)
Color: NM189
Manufacture: Nitterhouse</t>
  </si>
  <si>
    <t>W-2</t>
  </si>
  <si>
    <t>3/L1.20</t>
  </si>
  <si>
    <t>Split Face CMU Planter Wall</t>
  </si>
  <si>
    <t>CMU Wall Cap</t>
  </si>
  <si>
    <t>5A/SD-1</t>
  </si>
  <si>
    <t xml:space="preserve">1 #4 Bar Continuous </t>
  </si>
  <si>
    <t>#4 Horizontal Bars @ 24" O.C.</t>
  </si>
  <si>
    <t>#4 Vertical Bars @ 16" O.C. Hooked into Slab</t>
  </si>
  <si>
    <t>WALL TYPE W-102 (24"H)
Color: NM189
Manufacture: Nitterhouse</t>
  </si>
  <si>
    <t>WALL TYPE W-103 (18"H)
Color: NM189
Manufacture: Nitterhouse</t>
  </si>
  <si>
    <t>6/L1.21</t>
  </si>
  <si>
    <r>
      <rPr>
        <b/>
        <sz val="12"/>
        <rFont val="Calibri"/>
        <family val="2"/>
        <scheme val="minor"/>
      </rPr>
      <t>Cast In Place Concret Curb C-101</t>
    </r>
    <r>
      <rPr>
        <sz val="12"/>
        <rFont val="Calibri"/>
        <family val="2"/>
        <scheme val="minor"/>
      </rPr>
      <t xml:space="preserve">
- Bottom Width 9-1/2" and Top Width 6" and 6" Above Grade
- 1-1/2" w. Formed Skate Deterrent, 36" OC and 18" from Edges
- 1-1/2" Radius on top edge both side</t>
    </r>
  </si>
  <si>
    <t xml:space="preserve">2 #4 Bar Continuous </t>
  </si>
  <si>
    <t>Walls and Curbs Sub Total</t>
  </si>
  <si>
    <t>SITE AMENITIES</t>
  </si>
  <si>
    <t>BENCHES</t>
  </si>
  <si>
    <t>L1.01-03</t>
  </si>
  <si>
    <t>4/L1.20</t>
  </si>
  <si>
    <r>
      <rPr>
        <b/>
        <u/>
        <sz val="12"/>
        <rFont val="Calibri"/>
        <family val="2"/>
        <scheme val="minor"/>
      </rPr>
      <t>M-101 - Built-In Cantilevered Bench</t>
    </r>
    <r>
      <rPr>
        <sz val="12"/>
        <rFont val="Calibri"/>
        <family val="2"/>
        <scheme val="minor"/>
      </rPr>
      <t xml:space="preserve">
-1/4'' Thk. X 2" W. Stl. St. Plate
-3/8" Dia. Stl. St. Anchor, Simpson Strong Bolt 2, 1-1/4" Min. From Head Joint, (2) Top @ 4" O.C. &amp; (1 ) Bottom Each Outrigger, W/ Min. 3" Effective Embed</t>
    </r>
  </si>
  <si>
    <t>5/L1.20</t>
  </si>
  <si>
    <r>
      <rPr>
        <b/>
        <u/>
        <sz val="12"/>
        <rFont val="Calibri"/>
        <family val="2"/>
        <scheme val="minor"/>
      </rPr>
      <t>M-102 - Free Standing Wood Top Bench</t>
    </r>
    <r>
      <rPr>
        <sz val="12"/>
        <rFont val="Calibri"/>
        <family val="2"/>
        <scheme val="minor"/>
      </rPr>
      <t xml:space="preserve">
-3/8" Dia. Hilti Kb-Tz Anchors @ 30" Max. O.C. W/ Min. 3" Effective Embed.
-3/8'' Thk. X 3'' W. Stl. St. Plate</t>
    </r>
  </si>
  <si>
    <t>(2) #4 Vertical @ Center Of Each 5"
W. Conc. Wall</t>
  </si>
  <si>
    <t>PLANTER BOXES</t>
  </si>
  <si>
    <t>SCH/L0.01</t>
  </si>
  <si>
    <t>M-104 - Natural Cedar Planter Box
- 26"(W) X 60"(L) X 28"(H) Provide Ada Accessible Unit
- Manufacturer: Eartheasy (888) 451-6752</t>
  </si>
  <si>
    <t>GARDEN BED</t>
  </si>
  <si>
    <t>8/L1.20</t>
  </si>
  <si>
    <r>
      <rPr>
        <b/>
        <u/>
        <sz val="12"/>
        <rFont val="Calibri"/>
        <family val="2"/>
        <scheme val="minor"/>
      </rPr>
      <t>M-105 - Natural Cedar Raised Garden Bed</t>
    </r>
    <r>
      <rPr>
        <sz val="12"/>
        <rFont val="Calibri"/>
        <family val="2"/>
        <scheme val="minor"/>
      </rPr>
      <t xml:space="preserve">
-24"(W) X 60"(L) X 33"(H) W/ Trim Pack Provide Ada Accessible Unit
-Manufacturer: Eartheasy (888) 451-6752</t>
    </r>
  </si>
  <si>
    <t xml:space="preserve">Planting Soil </t>
  </si>
  <si>
    <t>4" Thick Aggregate Wrapped in Fabric</t>
  </si>
  <si>
    <t>DECORATIVE ROCKS</t>
  </si>
  <si>
    <t>6/L1.20</t>
  </si>
  <si>
    <t>M-106 - 2' HT LARGE HOP ROCK 
-Color: Limestone
-Epoxy Play to Structure Below
-Hand Tight All Side
-Manufacturer: UPC PARKS EILEEN MCKENZIE (530) 243-1096</t>
  </si>
  <si>
    <t>M-107 - 1'-1"' HT LARGE HOP ROCK 
-Color: Limestone
-Epoxy Play to Structure Below
-Hand Tight All Side
-Manufacturer: UPC PARKS EILEEN MCKENZIE (530) 243-1096</t>
  </si>
  <si>
    <t>POOL TABLES</t>
  </si>
  <si>
    <t>M-108 - OUTDOOR BUMPER POOL TABLE
-Color: Black
-Manufacturer: DIAG. 7' OUTDOOR POOL TABLE</t>
  </si>
  <si>
    <t>M-109 - 8' x 8' GIANT CHESS MAT
-Color: STANDARD
-Manufacturer: CHESSHOUSE (800)-348-4749</t>
  </si>
  <si>
    <t>PERGOLA</t>
  </si>
  <si>
    <t>7/L1.21</t>
  </si>
  <si>
    <t>M-110 - Pergola
-Color: Powder Coat, To Be Selected
-4"X4" Extruded Aluminum Post Columns.
-2"X6" Extruded Aluminum Beam
-2" Min. Sq. Extruded Aluminum Pickets
-Anchor To Roof, Fabricator To Provide Base Plate.
-Ipe Paver At Post, 1/4" Max. Gap At Post
-Gfci Electrical Outlet Integrated Into Posts
-Structure, See Architecture Dwgs.
-Ipe Pavers On Pedestal System, See Schedule
-Manufacturer: Universal Awning (818) 882-0027</t>
  </si>
  <si>
    <t>BIKE RACKS</t>
  </si>
  <si>
    <t>S-101- Cycloops Circulo Bike Rack
-Color:  Regal Blue
-Manufacturer: Columbia Cascade (800) 547-1940</t>
  </si>
  <si>
    <t>FIBERLGASS PLANTER POTS</t>
  </si>
  <si>
    <t>2/L1.21</t>
  </si>
  <si>
    <t>S-103-Fiberglass Planter Pot 28" X 36"Ht
-Color: Toast
-Old Town Fiberglass (714) 633-3732</t>
  </si>
  <si>
    <t>S-113-Fiberglass Planter Pot Custom 96" X 36" X 48"Ht
-#RL963648, Gc To Request Customization Of Pot'S Height To Match Parapet Height. V.I.F. 45'' Height</t>
  </si>
  <si>
    <t>S-109-Fiberglass Planter Pot 72" X 36" X 36"Ht
-Color: Broze
-Old Town Fiberglass (714) 633-3732</t>
  </si>
  <si>
    <t>S-107 - Fiberglass Planter Pot 60" X 60" X 48"Ht
-Color: Broze
-Old Town Fiberglass (714) 633-3732</t>
  </si>
  <si>
    <t>S-108 - Fiberglass Planter Pot 60" X 24" X 36"Ht
-Color: Broze
-Old Town Fiberglass (714) 633-3732</t>
  </si>
  <si>
    <t>TRASH RECEPTACLE</t>
  </si>
  <si>
    <t>S-114 - Trash Receptacle
-Color: Regal Blue
-Manufacturer: Columbia Cascade (800) 547-1940</t>
  </si>
  <si>
    <t>STRING LIGHTS</t>
  </si>
  <si>
    <t>4/L1.21</t>
  </si>
  <si>
    <t>String Light</t>
  </si>
  <si>
    <t>String Light Posts - 10' H
-2" Dia Hot Dip Galvanized and Painted Tube
-1 1/2" Dia Eye Bolt Welded and Galvanized</t>
  </si>
  <si>
    <t>Site Amenities Sub Total</t>
  </si>
  <si>
    <t>RETAINING WALLS</t>
  </si>
  <si>
    <t>FOOTINGS</t>
  </si>
  <si>
    <t>Wall Footing
Length: 276'-8"
Width: 0'-8"
Depth: 1'-10"</t>
  </si>
  <si>
    <t>B/W-3</t>
  </si>
  <si>
    <t xml:space="preserve">(2) #4 Cont. Bars </t>
  </si>
  <si>
    <t>Formwork Continous Footing</t>
  </si>
  <si>
    <t>#4 Bar in Footing Step
Count Step: 02 EA</t>
  </si>
  <si>
    <t>WALL</t>
  </si>
  <si>
    <t xml:space="preserve">6' High Proto II Block Wall
Length: 270'-8"
Width: 0'-6"
Height: 6'-0" </t>
  </si>
  <si>
    <t xml:space="preserve">Proto II Blocks CMU Wall
-OPT cap Block Top </t>
  </si>
  <si>
    <t xml:space="preserve">#4 Horizontal Joint Bar @ 24" OC and 2 at Top </t>
  </si>
  <si>
    <t>Post Tensioning Rod @ 6'-0" OC
-Length: 6'-2" hooked into Footing
-Bolts and Plate
-After tensioning mortar at the bottom and top section of wall</t>
  </si>
  <si>
    <t xml:space="preserve">4' High Proto II Block Wall
Length: 6'-0"
Width: 0'-6"
Height: 4'-0" </t>
  </si>
  <si>
    <t>Post Tensioning Rod @ 6'-0" OC
-Length: 4'-2" hooked into Footing
-Bolts and Plate
-After tensioning mortar at the bottom and top section of wall</t>
  </si>
  <si>
    <t xml:space="preserve">6' Split Face CMU Wall (6")
Length: 97'-0"
Width: 0'-6"
Height: 6'-0" </t>
  </si>
  <si>
    <t>Concrete (4000 Psi) -Extended Slab</t>
  </si>
  <si>
    <t>6" Wide Split Face CMU Wall</t>
  </si>
  <si>
    <t>#4 Vertical Bars @ 16" O.C. Hooked into Footing</t>
  </si>
  <si>
    <t>Retaining Walls Sub Total</t>
  </si>
  <si>
    <t>STORM DRAIN SYSTEM</t>
  </si>
  <si>
    <t>HDPE PIPES</t>
  </si>
  <si>
    <t>C-7</t>
  </si>
  <si>
    <t>C-8</t>
  </si>
  <si>
    <t>10" ADS HDPE Pipe</t>
  </si>
  <si>
    <t>Gravel Bedding</t>
  </si>
  <si>
    <t>Haunch</t>
  </si>
  <si>
    <t>8" ADS HDPE Pipe</t>
  </si>
  <si>
    <t>6" ADS HDPE Pipe</t>
  </si>
  <si>
    <t>DUCTILE IRON PIPE</t>
  </si>
  <si>
    <t>12" Ductile Iron Pipe</t>
  </si>
  <si>
    <t>NDS ATRIUM GRATES AND DRAINS</t>
  </si>
  <si>
    <t>NDS 9"x9" Grate and Drain
-9" Polyolefin Square Atrium Grate
-NDS Low Profile Adaptor
-6" Universal Locking Outlet and Riser</t>
  </si>
  <si>
    <t>NDS 9" Square Brass Grate and Drain
-9" NDS Square Brass Grate
-NDS Low Profile Adaptor
-6" Universal Locking Outlet and Riser</t>
  </si>
  <si>
    <t>DRYWELL</t>
  </si>
  <si>
    <t>Maxwell IV Drywell IV-4-CS-CA
-Base Seal Concrete Slurry
-Drainage Pipe 
-Flofast Drainage Screen</t>
  </si>
  <si>
    <t>Stabilized Backfill</t>
  </si>
  <si>
    <t xml:space="preserve">Crushed Rock </t>
  </si>
  <si>
    <t>Non-Geotextile Sleeve- 140 Mirafi</t>
  </si>
  <si>
    <t>DIVERTER BOX</t>
  </si>
  <si>
    <t>3'x3' Precast Conc. Diverter Box with Grate 
-Rem's Triton CFS Filter
-Depth 102"</t>
  </si>
  <si>
    <t>PARKWAY DRAIN</t>
  </si>
  <si>
    <t>Parkway Drain SPPWC 151-2 S=24"
-#3 @ 12 " Longitudinal Bars
-#3 @ 7" Main Bars
-Concrete Base and Edges 6" and Top Width B=4" Min
-Angles and Galvanized Steel Angles</t>
  </si>
  <si>
    <t>MISC. ITEMS</t>
  </si>
  <si>
    <t>Ductile Iron fitting</t>
  </si>
  <si>
    <t>CSF Filter</t>
  </si>
  <si>
    <t>'NO Dumping" Stencil</t>
  </si>
  <si>
    <t>Storm Connection To Existing W/
- Tapping Valve and Sleeve</t>
  </si>
  <si>
    <t xml:space="preserve">Trench Drain Per Plumbing </t>
  </si>
  <si>
    <t>A1.01</t>
  </si>
  <si>
    <t xml:space="preserve">Foundation Drain </t>
  </si>
  <si>
    <t>Storm System Sub Total</t>
  </si>
  <si>
    <t>SANITARY UTILTIIES</t>
  </si>
  <si>
    <t>6" Sewer House Lateral per SPPWC 222-2 (D=7')</t>
  </si>
  <si>
    <t>Shoring (Both Side)</t>
  </si>
  <si>
    <t>Prop. 12" VCP Sewer (D=11')</t>
  </si>
  <si>
    <t>Note: we have assumed trench details for sanitary  utilities.</t>
  </si>
  <si>
    <t>6" WYE Saddle LACDPW 2025-2</t>
  </si>
  <si>
    <t>Terminal Cleanouts SPPWC 204-2</t>
  </si>
  <si>
    <t>Sanitary Service Connection To Existing W/
- Tapping Valves and Sleeves</t>
  </si>
  <si>
    <t>Sanitary System Sub Total</t>
  </si>
  <si>
    <t>WATER UTILITIES</t>
  </si>
  <si>
    <t>Proposed 4" Water Service</t>
  </si>
  <si>
    <t>Proposed 1" Water Service</t>
  </si>
  <si>
    <t>Proposed 12" DIP Water Pipe</t>
  </si>
  <si>
    <t>Proposed 6" DIP Fire Service</t>
  </si>
  <si>
    <t>C-9</t>
  </si>
  <si>
    <t>Proposed 6" Class 200 AWWA C900 PVC Domestic Water Service</t>
  </si>
  <si>
    <t>Proposed 6" Class 200 AWWA C900 PVC Fire Water Service</t>
  </si>
  <si>
    <t>Note: we have assumed trench details for water utilities.</t>
  </si>
  <si>
    <t>Install 6" Fire Hydrant</t>
  </si>
  <si>
    <t>1-1/2" Backflow Preventor</t>
  </si>
  <si>
    <t>Elbows and Tees Connections</t>
  </si>
  <si>
    <t>4" Domestic Water Meter</t>
  </si>
  <si>
    <t>8" CIP Conn. to 8" DIP</t>
  </si>
  <si>
    <t>12" DIP Conn. to 8" DIP</t>
  </si>
  <si>
    <t>6" Fire Water Service Assembly</t>
  </si>
  <si>
    <t>Water Service Connection To Existing W/
- Tapping Valves and Sleeves</t>
  </si>
  <si>
    <t>Fire Department Connection To Existing W/
- Tapping Valves and Sleeves</t>
  </si>
  <si>
    <t>6" Reduced Pressure Black Flow preventer A-C10</t>
  </si>
  <si>
    <t>6" Double Check Detector Assembly</t>
  </si>
  <si>
    <t>Thrust Block</t>
  </si>
  <si>
    <t>Water System Sub Total</t>
  </si>
  <si>
    <t>GAS UTILITIES</t>
  </si>
  <si>
    <t>C-9-P-1</t>
  </si>
  <si>
    <t>3" Yellow PE Gas Line</t>
  </si>
  <si>
    <t>Concrete Encasement</t>
  </si>
  <si>
    <t>Note: we have assumed trench details for gas utilities.</t>
  </si>
  <si>
    <t>Gas Meter and Regulator Assembly</t>
  </si>
  <si>
    <t>Gas Connection to Existing Main W/
- Tapping Valves and Sleeves</t>
  </si>
  <si>
    <t>Emergency Gas Siesmic Main Shut Off Valve</t>
  </si>
  <si>
    <t>UPC Gas Main Shut Off Valve</t>
  </si>
  <si>
    <t>Gas System Sub Total</t>
  </si>
  <si>
    <t>ELECTRICAL UTILITIES</t>
  </si>
  <si>
    <t>E1.0</t>
  </si>
  <si>
    <t>2-2" Conduit</t>
  </si>
  <si>
    <t>Sand Bedding</t>
  </si>
  <si>
    <t>5-5" Conduit</t>
  </si>
  <si>
    <t>6-4" Conduit</t>
  </si>
  <si>
    <t>Note: we have assumed trench details for electrical utilties utilities.</t>
  </si>
  <si>
    <t>2,000 Amps Main Switchgear @ 120/208V, 3Ø, 4W.</t>
  </si>
  <si>
    <t>2-2" Conduit Stub</t>
  </si>
  <si>
    <t>Pull Box</t>
  </si>
  <si>
    <t>New Surface Mounted Panelboard</t>
  </si>
  <si>
    <t>Outdoor Weatherproof Nema 3R Pull Section</t>
  </si>
  <si>
    <t>Electrical System Sub Total</t>
  </si>
  <si>
    <t>FENCE ON PLANTER WALLS</t>
  </si>
  <si>
    <t>L1.03</t>
  </si>
  <si>
    <t>15/A9.11</t>
  </si>
  <si>
    <r>
      <rPr>
        <b/>
        <u/>
        <sz val="12"/>
        <rFont val="Calibri"/>
        <family val="2"/>
        <scheme val="minor"/>
      </rPr>
      <t>Fence on Planter Wall</t>
    </r>
    <r>
      <rPr>
        <sz val="12"/>
        <rFont val="Calibri"/>
        <family val="2"/>
        <scheme val="minor"/>
      </rPr>
      <t xml:space="preserve">
-Height 3'-0" with 12" Embedment into Plater wall
-(2) HSS 2"x2"x 3/16" Along the length
-HSS 2"x2"x 3/16" 3' Long @ 4' OC along the length
-1"x1" Steel Picket @ 4" OC Max.</t>
    </r>
  </si>
  <si>
    <t>8/A9.10</t>
  </si>
  <si>
    <r>
      <rPr>
        <b/>
        <u/>
        <sz val="12"/>
        <rFont val="Calibri"/>
        <family val="2"/>
        <scheme val="minor"/>
      </rPr>
      <t>Access Metal Gate</t>
    </r>
    <r>
      <rPr>
        <sz val="12"/>
        <rFont val="Calibri"/>
        <family val="2"/>
        <scheme val="minor"/>
      </rPr>
      <t xml:space="preserve">
-Signage On  12"X12"X1/4" Galv. Stl.  Backing Plate -Weld  To Stl. Pickets
-Knox Box (4400  Series), Welded  To Galv. Stl.  Backing Plate -Weld To Stl.  Pickets
-3"X3"X3/16" Galv. Stl. Tube Post Vertical Posts 3
-2"X2"X1/8" Thk. Horiz. Top &amp; Bot. Galv. Stl. Rails, Weld Pickets To Rail
-Embeded Steel Base Plates 
-3/4"X3/4"X1/8" Galv. Stl. Tube Pickets, Typ.</t>
    </r>
  </si>
  <si>
    <t>Concrete (4000 Psi)
-for 3 post per each Gate</t>
  </si>
  <si>
    <t>2-3/4"Ø 8-Inches Long Nelson Studs</t>
  </si>
  <si>
    <t>Formwork Circular</t>
  </si>
  <si>
    <t>Fence On Planter Walls Sub Total</t>
  </si>
  <si>
    <t>LANDSCAPING</t>
  </si>
  <si>
    <t>LANDSCAPE HYDROZONE</t>
  </si>
  <si>
    <t xml:space="preserve">Planter - 12" </t>
  </si>
  <si>
    <t>L2.01</t>
  </si>
  <si>
    <t>Planting Soil</t>
  </si>
  <si>
    <t xml:space="preserve">Planter - 18" </t>
  </si>
  <si>
    <t>L2.02</t>
  </si>
  <si>
    <t>4" Thick 3/8" Drainage Rock</t>
  </si>
  <si>
    <t>Drainage Mat with Integreted Filter Fabric</t>
  </si>
  <si>
    <t>Water Proofing</t>
  </si>
  <si>
    <t>Planter Drain 4" Perforated</t>
  </si>
  <si>
    <t xml:space="preserve">Planter - 26" </t>
  </si>
  <si>
    <t>L2.01-02</t>
  </si>
  <si>
    <t xml:space="preserve">Planter - 36" </t>
  </si>
  <si>
    <t>L2.02-03</t>
  </si>
  <si>
    <t xml:space="preserve">Planter - 42" </t>
  </si>
  <si>
    <t xml:space="preserve">Planter - 48" </t>
  </si>
  <si>
    <t>TREES</t>
  </si>
  <si>
    <t>L4.00</t>
  </si>
  <si>
    <t>SCH-L4.00</t>
  </si>
  <si>
    <r>
      <rPr>
        <b/>
        <sz val="12"/>
        <rFont val="Calibri"/>
        <family val="2"/>
        <scheme val="minor"/>
      </rPr>
      <t>Botanical Name:</t>
    </r>
    <r>
      <rPr>
        <sz val="12"/>
        <rFont val="Calibri"/>
        <family val="2"/>
        <scheme val="minor"/>
      </rPr>
      <t xml:space="preserve"> Cercis canadensis
</t>
    </r>
    <r>
      <rPr>
        <b/>
        <sz val="12"/>
        <rFont val="Calibri"/>
        <family val="2"/>
        <scheme val="minor"/>
      </rPr>
      <t xml:space="preserve">Common Name: </t>
    </r>
    <r>
      <rPr>
        <sz val="12"/>
        <rFont val="Calibri"/>
        <family val="2"/>
        <scheme val="minor"/>
      </rPr>
      <t>Eastern Redbud</t>
    </r>
  </si>
  <si>
    <r>
      <rPr>
        <b/>
        <sz val="12"/>
        <rFont val="Calibri"/>
        <family val="2"/>
        <scheme val="minor"/>
      </rPr>
      <t>Botanical Name:</t>
    </r>
    <r>
      <rPr>
        <sz val="12"/>
        <rFont val="Calibri"/>
        <family val="2"/>
        <scheme val="minor"/>
      </rPr>
      <t xml:space="preserve"> Chilopsis linearis
</t>
    </r>
    <r>
      <rPr>
        <b/>
        <sz val="12"/>
        <rFont val="Calibri"/>
        <family val="2"/>
        <scheme val="minor"/>
      </rPr>
      <t xml:space="preserve">Common Name: </t>
    </r>
    <r>
      <rPr>
        <sz val="12"/>
        <rFont val="Calibri"/>
        <family val="2"/>
        <scheme val="minor"/>
      </rPr>
      <t>Desert Willow</t>
    </r>
  </si>
  <si>
    <r>
      <rPr>
        <b/>
        <sz val="12"/>
        <rFont val="Calibri"/>
        <family val="2"/>
        <scheme val="minor"/>
      </rPr>
      <t>Botanical Name:</t>
    </r>
    <r>
      <rPr>
        <sz val="12"/>
        <rFont val="Calibri"/>
        <family val="2"/>
        <scheme val="minor"/>
      </rPr>
      <t xml:space="preserve"> Koelreuteria Paniculata
</t>
    </r>
    <r>
      <rPr>
        <b/>
        <sz val="12"/>
        <rFont val="Calibri"/>
        <family val="2"/>
        <scheme val="minor"/>
      </rPr>
      <t xml:space="preserve">Common Name: </t>
    </r>
    <r>
      <rPr>
        <sz val="12"/>
        <rFont val="Calibri"/>
        <family val="2"/>
        <scheme val="minor"/>
      </rPr>
      <t>Improved Meyer Lemon Tree</t>
    </r>
  </si>
  <si>
    <r>
      <rPr>
        <b/>
        <sz val="12"/>
        <rFont val="Calibri"/>
        <family val="2"/>
        <scheme val="minor"/>
      </rPr>
      <t>Botanical Name:</t>
    </r>
    <r>
      <rPr>
        <sz val="12"/>
        <rFont val="Calibri"/>
        <family val="2"/>
        <scheme val="minor"/>
      </rPr>
      <t xml:space="preserve"> Citrus reticulata 'Owari'
</t>
    </r>
    <r>
      <rPr>
        <b/>
        <sz val="12"/>
        <rFont val="Calibri"/>
        <family val="2"/>
        <scheme val="minor"/>
      </rPr>
      <t xml:space="preserve">Common Name: </t>
    </r>
    <r>
      <rPr>
        <sz val="12"/>
        <rFont val="Calibri"/>
        <family val="2"/>
        <scheme val="minor"/>
      </rPr>
      <t>Owari Satsuma Mandarin Tree</t>
    </r>
  </si>
  <si>
    <r>
      <rPr>
        <b/>
        <sz val="12"/>
        <rFont val="Calibri"/>
        <family val="2"/>
        <scheme val="minor"/>
      </rPr>
      <t>Botanical Name:</t>
    </r>
    <r>
      <rPr>
        <sz val="12"/>
        <rFont val="Calibri"/>
        <family val="2"/>
        <scheme val="minor"/>
      </rPr>
      <t xml:space="preserve"> Citrus x sinensis
</t>
    </r>
    <r>
      <rPr>
        <b/>
        <sz val="12"/>
        <rFont val="Calibri"/>
        <family val="2"/>
        <scheme val="minor"/>
      </rPr>
      <t xml:space="preserve">Common Name: </t>
    </r>
    <r>
      <rPr>
        <sz val="12"/>
        <rFont val="Calibri"/>
        <family val="2"/>
        <scheme val="minor"/>
      </rPr>
      <t>Orange Tree</t>
    </r>
  </si>
  <si>
    <r>
      <rPr>
        <b/>
        <sz val="12"/>
        <rFont val="Calibri"/>
        <family val="2"/>
        <scheme val="minor"/>
      </rPr>
      <t>Botanical Name:</t>
    </r>
    <r>
      <rPr>
        <sz val="12"/>
        <rFont val="Calibri"/>
        <family val="2"/>
        <scheme val="minor"/>
      </rPr>
      <t xml:space="preserve"> Platanus x acerfolia 'Bloodgood'
</t>
    </r>
    <r>
      <rPr>
        <b/>
        <sz val="12"/>
        <rFont val="Calibri"/>
        <family val="2"/>
        <scheme val="minor"/>
      </rPr>
      <t xml:space="preserve">Common Name: </t>
    </r>
    <r>
      <rPr>
        <sz val="12"/>
        <rFont val="Calibri"/>
        <family val="2"/>
        <scheme val="minor"/>
      </rPr>
      <t>Bloodgood London Plane Tree</t>
    </r>
  </si>
  <si>
    <r>
      <rPr>
        <b/>
        <sz val="12"/>
        <rFont val="Calibri"/>
        <family val="2"/>
        <scheme val="minor"/>
      </rPr>
      <t>Botanical Name:</t>
    </r>
    <r>
      <rPr>
        <sz val="12"/>
        <rFont val="Calibri"/>
        <family val="2"/>
        <scheme val="minor"/>
      </rPr>
      <t xml:space="preserve"> Searsia lancea
</t>
    </r>
    <r>
      <rPr>
        <b/>
        <sz val="12"/>
        <rFont val="Calibri"/>
        <family val="2"/>
        <scheme val="minor"/>
      </rPr>
      <t xml:space="preserve">Common Name: </t>
    </r>
    <r>
      <rPr>
        <sz val="12"/>
        <rFont val="Calibri"/>
        <family val="2"/>
        <scheme val="minor"/>
      </rPr>
      <t>African Sumac</t>
    </r>
  </si>
  <si>
    <t>Existing Trees to be Protected in Place</t>
  </si>
  <si>
    <t>SHRUBS</t>
  </si>
  <si>
    <r>
      <rPr>
        <b/>
        <sz val="12"/>
        <rFont val="Calibri"/>
        <family val="2"/>
        <scheme val="minor"/>
      </rPr>
      <t xml:space="preserve">Botanical Name: </t>
    </r>
    <r>
      <rPr>
        <sz val="12"/>
        <rFont val="Calibri"/>
        <family val="2"/>
        <scheme val="minor"/>
      </rPr>
      <t xml:space="preserve">Callistemon citrinus 'Little John'
</t>
    </r>
    <r>
      <rPr>
        <b/>
        <sz val="12"/>
        <rFont val="Calibri"/>
        <family val="2"/>
        <scheme val="minor"/>
      </rPr>
      <t xml:space="preserve">Common Name: </t>
    </r>
    <r>
      <rPr>
        <sz val="12"/>
        <rFont val="Calibri"/>
        <family val="2"/>
        <scheme val="minor"/>
      </rPr>
      <t>Little John Dwarf Bottlebrush</t>
    </r>
  </si>
  <si>
    <r>
      <rPr>
        <b/>
        <sz val="12"/>
        <rFont val="Calibri"/>
        <family val="2"/>
        <scheme val="minor"/>
      </rPr>
      <t xml:space="preserve">Botanical Name: </t>
    </r>
    <r>
      <rPr>
        <sz val="12"/>
        <rFont val="Calibri"/>
        <family val="2"/>
        <scheme val="minor"/>
      </rPr>
      <t xml:space="preserve">Leucadendron 'Jester'
</t>
    </r>
    <r>
      <rPr>
        <b/>
        <sz val="12"/>
        <rFont val="Calibri"/>
        <family val="2"/>
        <scheme val="minor"/>
      </rPr>
      <t xml:space="preserve">Common Name: </t>
    </r>
    <r>
      <rPr>
        <sz val="12"/>
        <rFont val="Calibri"/>
        <family val="2"/>
        <scheme val="minor"/>
      </rPr>
      <t>Sunshine Conebush</t>
    </r>
  </si>
  <si>
    <r>
      <rPr>
        <b/>
        <sz val="12"/>
        <rFont val="Calibri"/>
        <family val="2"/>
        <scheme val="minor"/>
      </rPr>
      <t xml:space="preserve">Botanical Name: </t>
    </r>
    <r>
      <rPr>
        <sz val="12"/>
        <rFont val="Calibri"/>
        <family val="2"/>
        <scheme val="minor"/>
      </rPr>
      <t xml:space="preserve">Limonium perezii
</t>
    </r>
    <r>
      <rPr>
        <b/>
        <sz val="12"/>
        <rFont val="Calibri"/>
        <family val="2"/>
        <scheme val="minor"/>
      </rPr>
      <t xml:space="preserve">Common Name: </t>
    </r>
    <r>
      <rPr>
        <sz val="12"/>
        <rFont val="Calibri"/>
        <family val="2"/>
        <scheme val="minor"/>
      </rPr>
      <t>Sea Lavender</t>
    </r>
  </si>
  <si>
    <r>
      <rPr>
        <b/>
        <sz val="12"/>
        <rFont val="Calibri"/>
        <family val="2"/>
        <scheme val="minor"/>
      </rPr>
      <t xml:space="preserve">Botanical Name: </t>
    </r>
    <r>
      <rPr>
        <sz val="12"/>
        <rFont val="Calibri"/>
        <family val="2"/>
        <scheme val="minor"/>
      </rPr>
      <t xml:space="preserve">Myrtus communis compacta
</t>
    </r>
    <r>
      <rPr>
        <b/>
        <sz val="12"/>
        <rFont val="Calibri"/>
        <family val="2"/>
        <scheme val="minor"/>
      </rPr>
      <t xml:space="preserve">Common Name: </t>
    </r>
    <r>
      <rPr>
        <sz val="12"/>
        <rFont val="Calibri"/>
        <family val="2"/>
        <scheme val="minor"/>
      </rPr>
      <t>Dwarf Myrtle</t>
    </r>
  </si>
  <si>
    <r>
      <rPr>
        <b/>
        <sz val="12"/>
        <rFont val="Calibri"/>
        <family val="2"/>
        <scheme val="minor"/>
      </rPr>
      <t xml:space="preserve">Botanical Name: </t>
    </r>
    <r>
      <rPr>
        <sz val="12"/>
        <rFont val="Calibri"/>
        <family val="2"/>
        <scheme val="minor"/>
      </rPr>
      <t xml:space="preserve">Olea europaea 'Little Ollie'
</t>
    </r>
    <r>
      <rPr>
        <b/>
        <sz val="12"/>
        <rFont val="Calibri"/>
        <family val="2"/>
        <scheme val="minor"/>
      </rPr>
      <t xml:space="preserve">Common Name: </t>
    </r>
    <r>
      <rPr>
        <sz val="12"/>
        <rFont val="Calibri"/>
        <family val="2"/>
        <scheme val="minor"/>
      </rPr>
      <t>Little Ollie</t>
    </r>
  </si>
  <si>
    <r>
      <rPr>
        <b/>
        <sz val="12"/>
        <rFont val="Calibri"/>
        <family val="2"/>
        <scheme val="minor"/>
      </rPr>
      <t xml:space="preserve">Botanical Name: </t>
    </r>
    <r>
      <rPr>
        <sz val="12"/>
        <rFont val="Calibri"/>
        <family val="2"/>
        <scheme val="minor"/>
      </rPr>
      <t xml:space="preserve">Perovskia atriplicifolia
</t>
    </r>
    <r>
      <rPr>
        <b/>
        <sz val="12"/>
        <rFont val="Calibri"/>
        <family val="2"/>
        <scheme val="minor"/>
      </rPr>
      <t xml:space="preserve">Common Name: </t>
    </r>
    <r>
      <rPr>
        <sz val="12"/>
        <rFont val="Calibri"/>
        <family val="2"/>
        <scheme val="minor"/>
      </rPr>
      <t>Russian Sage</t>
    </r>
  </si>
  <si>
    <r>
      <rPr>
        <b/>
        <sz val="12"/>
        <rFont val="Calibri"/>
        <family val="2"/>
        <scheme val="minor"/>
      </rPr>
      <t xml:space="preserve">Botanical Name: </t>
    </r>
    <r>
      <rPr>
        <sz val="12"/>
        <rFont val="Calibri"/>
        <family val="2"/>
        <scheme val="minor"/>
      </rPr>
      <t xml:space="preserve">Phormium tenax
</t>
    </r>
    <r>
      <rPr>
        <b/>
        <sz val="12"/>
        <rFont val="Calibri"/>
        <family val="2"/>
        <scheme val="minor"/>
      </rPr>
      <t xml:space="preserve">Common Name: </t>
    </r>
    <r>
      <rPr>
        <sz val="12"/>
        <rFont val="Calibri"/>
        <family val="2"/>
        <scheme val="minor"/>
      </rPr>
      <t>New Zealand Flax</t>
    </r>
  </si>
  <si>
    <r>
      <rPr>
        <b/>
        <sz val="12"/>
        <rFont val="Calibri"/>
        <family val="2"/>
        <scheme val="minor"/>
      </rPr>
      <t xml:space="preserve">Botanical Name: </t>
    </r>
    <r>
      <rPr>
        <sz val="12"/>
        <rFont val="Calibri"/>
        <family val="2"/>
        <scheme val="minor"/>
      </rPr>
      <t xml:space="preserve">Phormium tenax, 'Jack Spratt'
</t>
    </r>
    <r>
      <rPr>
        <b/>
        <sz val="12"/>
        <rFont val="Calibri"/>
        <family val="2"/>
        <scheme val="minor"/>
      </rPr>
      <t xml:space="preserve">Common Name: </t>
    </r>
    <r>
      <rPr>
        <sz val="12"/>
        <rFont val="Calibri"/>
        <family val="2"/>
        <scheme val="minor"/>
      </rPr>
      <t>Jack Spratt New Zealand Flax</t>
    </r>
  </si>
  <si>
    <r>
      <rPr>
        <b/>
        <sz val="12"/>
        <rFont val="Calibri"/>
        <family val="2"/>
        <scheme val="minor"/>
      </rPr>
      <t xml:space="preserve">Botanical Name: </t>
    </r>
    <r>
      <rPr>
        <sz val="12"/>
        <rFont val="Calibri"/>
        <family val="2"/>
        <scheme val="minor"/>
      </rPr>
      <t xml:space="preserve">Rhaphiolepsis india 'Pink Lady'
</t>
    </r>
    <r>
      <rPr>
        <b/>
        <sz val="12"/>
        <rFont val="Calibri"/>
        <family val="2"/>
        <scheme val="minor"/>
      </rPr>
      <t xml:space="preserve">Common Name: </t>
    </r>
    <r>
      <rPr>
        <sz val="12"/>
        <rFont val="Calibri"/>
        <family val="2"/>
        <scheme val="minor"/>
      </rPr>
      <t>Pink Lady Indian Hawthorn</t>
    </r>
  </si>
  <si>
    <r>
      <rPr>
        <b/>
        <sz val="12"/>
        <rFont val="Calibri"/>
        <family val="2"/>
        <scheme val="minor"/>
      </rPr>
      <t xml:space="preserve">Botanical Name: </t>
    </r>
    <r>
      <rPr>
        <sz val="12"/>
        <rFont val="Calibri"/>
        <family val="2"/>
        <scheme val="minor"/>
      </rPr>
      <t xml:space="preserve">Ribes aureum
</t>
    </r>
    <r>
      <rPr>
        <b/>
        <sz val="12"/>
        <rFont val="Calibri"/>
        <family val="2"/>
        <scheme val="minor"/>
      </rPr>
      <t xml:space="preserve">Common Name: </t>
    </r>
    <r>
      <rPr>
        <sz val="12"/>
        <rFont val="Calibri"/>
        <family val="2"/>
        <scheme val="minor"/>
      </rPr>
      <t>Golden Currant</t>
    </r>
  </si>
  <si>
    <r>
      <rPr>
        <b/>
        <sz val="12"/>
        <rFont val="Calibri"/>
        <family val="2"/>
        <scheme val="minor"/>
      </rPr>
      <t xml:space="preserve">Botanical Name: </t>
    </r>
    <r>
      <rPr>
        <sz val="12"/>
        <rFont val="Calibri"/>
        <family val="2"/>
        <scheme val="minor"/>
      </rPr>
      <t xml:space="preserve">Rosmarinus officinalis 'Tuscan Blue'
</t>
    </r>
    <r>
      <rPr>
        <b/>
        <sz val="12"/>
        <rFont val="Calibri"/>
        <family val="2"/>
        <scheme val="minor"/>
      </rPr>
      <t xml:space="preserve">Common Name: </t>
    </r>
    <r>
      <rPr>
        <sz val="12"/>
        <rFont val="Calibri"/>
        <family val="2"/>
        <scheme val="minor"/>
      </rPr>
      <t>Tuscan Blue Rosemary</t>
    </r>
  </si>
  <si>
    <r>
      <rPr>
        <b/>
        <sz val="12"/>
        <rFont val="Calibri"/>
        <family val="2"/>
        <scheme val="minor"/>
      </rPr>
      <t xml:space="preserve">Botanical Name: </t>
    </r>
    <r>
      <rPr>
        <sz val="12"/>
        <rFont val="Calibri"/>
        <family val="2"/>
        <scheme val="minor"/>
      </rPr>
      <t xml:space="preserve">Rosmarinus officinalis 'Blue Spires'
</t>
    </r>
    <r>
      <rPr>
        <b/>
        <sz val="12"/>
        <rFont val="Calibri"/>
        <family val="2"/>
        <scheme val="minor"/>
      </rPr>
      <t xml:space="preserve">Common Name: </t>
    </r>
    <r>
      <rPr>
        <sz val="12"/>
        <rFont val="Calibri"/>
        <family val="2"/>
        <scheme val="minor"/>
      </rPr>
      <t>Blue Spires Rosemary</t>
    </r>
  </si>
  <si>
    <r>
      <rPr>
        <b/>
        <sz val="12"/>
        <rFont val="Calibri"/>
        <family val="2"/>
        <scheme val="minor"/>
      </rPr>
      <t xml:space="preserve">Botanical Name: </t>
    </r>
    <r>
      <rPr>
        <sz val="12"/>
        <rFont val="Calibri"/>
        <family val="2"/>
        <scheme val="minor"/>
      </rPr>
      <t xml:space="preserve">Salvia apiana
</t>
    </r>
    <r>
      <rPr>
        <b/>
        <sz val="12"/>
        <rFont val="Calibri"/>
        <family val="2"/>
        <scheme val="minor"/>
      </rPr>
      <t xml:space="preserve">Common Name: </t>
    </r>
    <r>
      <rPr>
        <sz val="12"/>
        <rFont val="Calibri"/>
        <family val="2"/>
        <scheme val="minor"/>
      </rPr>
      <t>White Sage</t>
    </r>
  </si>
  <si>
    <r>
      <rPr>
        <b/>
        <sz val="12"/>
        <rFont val="Calibri"/>
        <family val="2"/>
        <scheme val="minor"/>
      </rPr>
      <t xml:space="preserve">Botanical Name: </t>
    </r>
    <r>
      <rPr>
        <sz val="12"/>
        <rFont val="Calibri"/>
        <family val="2"/>
        <scheme val="minor"/>
      </rPr>
      <t xml:space="preserve">Westringia fruticosa 'Blue Gem'
</t>
    </r>
    <r>
      <rPr>
        <b/>
        <sz val="12"/>
        <rFont val="Calibri"/>
        <family val="2"/>
        <scheme val="minor"/>
      </rPr>
      <t xml:space="preserve">Common Name: </t>
    </r>
    <r>
      <rPr>
        <sz val="12"/>
        <rFont val="Calibri"/>
        <family val="2"/>
        <scheme val="minor"/>
      </rPr>
      <t>Blue Gem Costal Rosemary</t>
    </r>
  </si>
  <si>
    <t>SUCCULENTS</t>
  </si>
  <si>
    <r>
      <rPr>
        <b/>
        <sz val="12"/>
        <rFont val="Calibri"/>
        <family val="2"/>
        <scheme val="minor"/>
      </rPr>
      <t xml:space="preserve">Botanical Name: </t>
    </r>
    <r>
      <rPr>
        <sz val="12"/>
        <rFont val="Calibri"/>
        <family val="2"/>
        <scheme val="minor"/>
      </rPr>
      <t xml:space="preserve">Aeonium haworthii
</t>
    </r>
    <r>
      <rPr>
        <b/>
        <sz val="12"/>
        <rFont val="Calibri"/>
        <family val="2"/>
        <scheme val="minor"/>
      </rPr>
      <t xml:space="preserve">Common Name: </t>
    </r>
    <r>
      <rPr>
        <sz val="12"/>
        <rFont val="Calibri"/>
        <family val="2"/>
        <scheme val="minor"/>
      </rPr>
      <t>Pinwheel</t>
    </r>
  </si>
  <si>
    <r>
      <rPr>
        <b/>
        <sz val="12"/>
        <rFont val="Calibri"/>
        <family val="2"/>
        <scheme val="minor"/>
      </rPr>
      <t xml:space="preserve">Botanical Name: </t>
    </r>
    <r>
      <rPr>
        <sz val="12"/>
        <rFont val="Calibri"/>
        <family val="2"/>
        <scheme val="minor"/>
      </rPr>
      <t xml:space="preserve">Aeonium 'Kiwi'
</t>
    </r>
    <r>
      <rPr>
        <b/>
        <sz val="12"/>
        <rFont val="Calibri"/>
        <family val="2"/>
        <scheme val="minor"/>
      </rPr>
      <t xml:space="preserve">Common Name: </t>
    </r>
    <r>
      <rPr>
        <sz val="12"/>
        <rFont val="Calibri"/>
        <family val="2"/>
        <scheme val="minor"/>
      </rPr>
      <t>Kiwi Aeonium</t>
    </r>
  </si>
  <si>
    <r>
      <rPr>
        <b/>
        <sz val="12"/>
        <rFont val="Calibri"/>
        <family val="2"/>
        <scheme val="minor"/>
      </rPr>
      <t xml:space="preserve">Botanical Name: </t>
    </r>
    <r>
      <rPr>
        <sz val="12"/>
        <rFont val="Calibri"/>
        <family val="2"/>
        <scheme val="minor"/>
      </rPr>
      <t xml:space="preserve">Aeonium 'Mint Saucer'
</t>
    </r>
    <r>
      <rPr>
        <b/>
        <sz val="12"/>
        <rFont val="Calibri"/>
        <family val="2"/>
        <scheme val="minor"/>
      </rPr>
      <t xml:space="preserve">Common Name: </t>
    </r>
    <r>
      <rPr>
        <sz val="12"/>
        <rFont val="Calibri"/>
        <family val="2"/>
        <scheme val="minor"/>
      </rPr>
      <t>Green Aeonium</t>
    </r>
  </si>
  <si>
    <r>
      <rPr>
        <b/>
        <sz val="12"/>
        <rFont val="Calibri"/>
        <family val="2"/>
        <scheme val="minor"/>
      </rPr>
      <t xml:space="preserve">Botanical Name: </t>
    </r>
    <r>
      <rPr>
        <sz val="12"/>
        <rFont val="Calibri"/>
        <family val="2"/>
        <scheme val="minor"/>
      </rPr>
      <t xml:space="preserve">Agave attenuata
</t>
    </r>
    <r>
      <rPr>
        <b/>
        <sz val="12"/>
        <rFont val="Calibri"/>
        <family val="2"/>
        <scheme val="minor"/>
      </rPr>
      <t xml:space="preserve">Common Name: </t>
    </r>
    <r>
      <rPr>
        <sz val="12"/>
        <rFont val="Calibri"/>
        <family val="2"/>
        <scheme val="minor"/>
      </rPr>
      <t>Foxtail Agave</t>
    </r>
  </si>
  <si>
    <r>
      <rPr>
        <b/>
        <sz val="12"/>
        <rFont val="Calibri"/>
        <family val="2"/>
        <scheme val="minor"/>
      </rPr>
      <t xml:space="preserve">Botanical Name: </t>
    </r>
    <r>
      <rPr>
        <sz val="12"/>
        <rFont val="Calibri"/>
        <family val="2"/>
        <scheme val="minor"/>
      </rPr>
      <t xml:space="preserve">Agave 'Blue Flame'
</t>
    </r>
    <r>
      <rPr>
        <b/>
        <sz val="12"/>
        <rFont val="Calibri"/>
        <family val="2"/>
        <scheme val="minor"/>
      </rPr>
      <t xml:space="preserve">Common Name: </t>
    </r>
    <r>
      <rPr>
        <sz val="12"/>
        <rFont val="Calibri"/>
        <family val="2"/>
        <scheme val="minor"/>
      </rPr>
      <t>Blue Flame Agave</t>
    </r>
  </si>
  <si>
    <r>
      <rPr>
        <b/>
        <sz val="12"/>
        <rFont val="Calibri"/>
        <family val="2"/>
        <scheme val="minor"/>
      </rPr>
      <t xml:space="preserve">Botanical Name: </t>
    </r>
    <r>
      <rPr>
        <sz val="12"/>
        <rFont val="Calibri"/>
        <family val="2"/>
        <scheme val="minor"/>
      </rPr>
      <t xml:space="preserve">Agave 'Blue Glow'
</t>
    </r>
    <r>
      <rPr>
        <b/>
        <sz val="12"/>
        <rFont val="Calibri"/>
        <family val="2"/>
        <scheme val="minor"/>
      </rPr>
      <t xml:space="preserve">Common Name: </t>
    </r>
    <r>
      <rPr>
        <sz val="12"/>
        <rFont val="Calibri"/>
        <family val="2"/>
        <scheme val="minor"/>
      </rPr>
      <t>Blue Glow Agave</t>
    </r>
  </si>
  <si>
    <r>
      <rPr>
        <b/>
        <sz val="12"/>
        <rFont val="Calibri"/>
        <family val="2"/>
        <scheme val="minor"/>
      </rPr>
      <t xml:space="preserve">Botanical Name: </t>
    </r>
    <r>
      <rPr>
        <sz val="12"/>
        <rFont val="Calibri"/>
        <family val="2"/>
        <scheme val="minor"/>
      </rPr>
      <t xml:space="preserve">Hesperaloe parviflora 'Brakelights'
</t>
    </r>
    <r>
      <rPr>
        <b/>
        <sz val="12"/>
        <rFont val="Calibri"/>
        <family val="2"/>
        <scheme val="minor"/>
      </rPr>
      <t xml:space="preserve">Common Name: </t>
    </r>
    <r>
      <rPr>
        <sz val="12"/>
        <rFont val="Calibri"/>
        <family val="2"/>
        <scheme val="minor"/>
      </rPr>
      <t>Yucca</t>
    </r>
  </si>
  <si>
    <r>
      <rPr>
        <b/>
        <sz val="12"/>
        <rFont val="Calibri"/>
        <family val="2"/>
        <scheme val="minor"/>
      </rPr>
      <t xml:space="preserve">Botanical Name: </t>
    </r>
    <r>
      <rPr>
        <sz val="12"/>
        <rFont val="Calibri"/>
        <family val="2"/>
        <scheme val="minor"/>
      </rPr>
      <t xml:space="preserve">Kalanchoe thyrisiflora
</t>
    </r>
    <r>
      <rPr>
        <b/>
        <sz val="12"/>
        <rFont val="Calibri"/>
        <family val="2"/>
        <scheme val="minor"/>
      </rPr>
      <t xml:space="preserve">Common Name: </t>
    </r>
    <r>
      <rPr>
        <sz val="12"/>
        <rFont val="Calibri"/>
        <family val="2"/>
        <scheme val="minor"/>
      </rPr>
      <t>Paddle Plant</t>
    </r>
  </si>
  <si>
    <r>
      <rPr>
        <b/>
        <sz val="12"/>
        <rFont val="Calibri"/>
        <family val="2"/>
        <scheme val="minor"/>
      </rPr>
      <t xml:space="preserve">Botanical Name: </t>
    </r>
    <r>
      <rPr>
        <sz val="12"/>
        <rFont val="Calibri"/>
        <family val="2"/>
        <scheme val="minor"/>
      </rPr>
      <t xml:space="preserve">Sedum 'Angelina'
</t>
    </r>
    <r>
      <rPr>
        <b/>
        <sz val="12"/>
        <rFont val="Calibri"/>
        <family val="2"/>
        <scheme val="minor"/>
      </rPr>
      <t xml:space="preserve">Common Name: </t>
    </r>
    <r>
      <rPr>
        <sz val="12"/>
        <rFont val="Calibri"/>
        <family val="2"/>
        <scheme val="minor"/>
      </rPr>
      <t>Angelina Stonecrop</t>
    </r>
  </si>
  <si>
    <r>
      <rPr>
        <b/>
        <sz val="12"/>
        <rFont val="Calibri"/>
        <family val="2"/>
        <scheme val="minor"/>
      </rPr>
      <t xml:space="preserve">Botanical Name: </t>
    </r>
    <r>
      <rPr>
        <sz val="12"/>
        <rFont val="Calibri"/>
        <family val="2"/>
        <scheme val="minor"/>
      </rPr>
      <t xml:space="preserve">Senecio serpens
</t>
    </r>
    <r>
      <rPr>
        <b/>
        <sz val="12"/>
        <rFont val="Calibri"/>
        <family val="2"/>
        <scheme val="minor"/>
      </rPr>
      <t xml:space="preserve">Common Name: </t>
    </r>
    <r>
      <rPr>
        <sz val="12"/>
        <rFont val="Calibri"/>
        <family val="2"/>
        <scheme val="minor"/>
      </rPr>
      <t>Blue Chalksticks</t>
    </r>
  </si>
  <si>
    <t>VINES</t>
  </si>
  <si>
    <r>
      <rPr>
        <b/>
        <sz val="12"/>
        <rFont val="Calibri"/>
        <family val="2"/>
        <scheme val="minor"/>
      </rPr>
      <t xml:space="preserve">Botanical Name: </t>
    </r>
    <r>
      <rPr>
        <sz val="12"/>
        <rFont val="Calibri"/>
        <family val="2"/>
        <scheme val="minor"/>
      </rPr>
      <t xml:space="preserve">Clystostoma callistegioides
</t>
    </r>
    <r>
      <rPr>
        <b/>
        <sz val="12"/>
        <rFont val="Calibri"/>
        <family val="2"/>
        <scheme val="minor"/>
      </rPr>
      <t xml:space="preserve">Common Name: </t>
    </r>
    <r>
      <rPr>
        <sz val="12"/>
        <rFont val="Calibri"/>
        <family val="2"/>
        <scheme val="minor"/>
      </rPr>
      <t>Lavender Trumpet Vine</t>
    </r>
  </si>
  <si>
    <t>GRASSES AND GROUNDCOVERS</t>
  </si>
  <si>
    <r>
      <rPr>
        <b/>
        <sz val="12"/>
        <rFont val="Calibri"/>
        <family val="2"/>
        <scheme val="minor"/>
      </rPr>
      <t xml:space="preserve">Botanical Name: </t>
    </r>
    <r>
      <rPr>
        <sz val="12"/>
        <rFont val="Calibri"/>
        <family val="2"/>
        <scheme val="minor"/>
      </rPr>
      <t xml:space="preserve">Carex tumulicola
</t>
    </r>
    <r>
      <rPr>
        <b/>
        <sz val="12"/>
        <rFont val="Calibri"/>
        <family val="2"/>
        <scheme val="minor"/>
      </rPr>
      <t xml:space="preserve">Common Name: </t>
    </r>
    <r>
      <rPr>
        <sz val="12"/>
        <rFont val="Calibri"/>
        <family val="2"/>
        <scheme val="minor"/>
      </rPr>
      <t>Berkeley Sedge</t>
    </r>
  </si>
  <si>
    <r>
      <rPr>
        <b/>
        <sz val="12"/>
        <rFont val="Calibri"/>
        <family val="2"/>
        <scheme val="minor"/>
      </rPr>
      <t xml:space="preserve">Botanical Name: </t>
    </r>
    <r>
      <rPr>
        <sz val="12"/>
        <rFont val="Calibri"/>
        <family val="2"/>
        <scheme val="minor"/>
      </rPr>
      <t xml:space="preserve">Dianella revoluta
</t>
    </r>
    <r>
      <rPr>
        <b/>
        <sz val="12"/>
        <rFont val="Calibri"/>
        <family val="2"/>
        <scheme val="minor"/>
      </rPr>
      <t xml:space="preserve">Common Name: </t>
    </r>
    <r>
      <rPr>
        <sz val="12"/>
        <rFont val="Calibri"/>
        <family val="2"/>
        <scheme val="minor"/>
      </rPr>
      <t>Flax Lily</t>
    </r>
  </si>
  <si>
    <r>
      <rPr>
        <b/>
        <sz val="12"/>
        <rFont val="Calibri"/>
        <family val="2"/>
        <scheme val="minor"/>
      </rPr>
      <t xml:space="preserve">Botanical Name: </t>
    </r>
    <r>
      <rPr>
        <sz val="12"/>
        <rFont val="Calibri"/>
        <family val="2"/>
        <scheme val="minor"/>
      </rPr>
      <t xml:space="preserve">Dietes bicolor
</t>
    </r>
    <r>
      <rPr>
        <b/>
        <sz val="12"/>
        <rFont val="Calibri"/>
        <family val="2"/>
        <scheme val="minor"/>
      </rPr>
      <t xml:space="preserve">Common Name: </t>
    </r>
    <r>
      <rPr>
        <sz val="12"/>
        <rFont val="Calibri"/>
        <family val="2"/>
        <scheme val="minor"/>
      </rPr>
      <t>Fortnight Lily</t>
    </r>
  </si>
  <si>
    <r>
      <rPr>
        <b/>
        <sz val="12"/>
        <rFont val="Calibri"/>
        <family val="2"/>
        <scheme val="minor"/>
      </rPr>
      <t xml:space="preserve">Botanical Name: </t>
    </r>
    <r>
      <rPr>
        <sz val="12"/>
        <rFont val="Calibri"/>
        <family val="2"/>
        <scheme val="minor"/>
      </rPr>
      <t xml:space="preserve">Festuca glauca
</t>
    </r>
    <r>
      <rPr>
        <b/>
        <sz val="12"/>
        <rFont val="Calibri"/>
        <family val="2"/>
        <scheme val="minor"/>
      </rPr>
      <t xml:space="preserve">Common Name: </t>
    </r>
    <r>
      <rPr>
        <sz val="12"/>
        <rFont val="Calibri"/>
        <family val="2"/>
        <scheme val="minor"/>
      </rPr>
      <t>Blue Fescue</t>
    </r>
  </si>
  <si>
    <r>
      <rPr>
        <b/>
        <sz val="12"/>
        <rFont val="Calibri"/>
        <family val="2"/>
        <scheme val="minor"/>
      </rPr>
      <t xml:space="preserve">Botanical Name: </t>
    </r>
    <r>
      <rPr>
        <sz val="12"/>
        <rFont val="Calibri"/>
        <family val="2"/>
        <scheme val="minor"/>
      </rPr>
      <t xml:space="preserve">Juncus patens
</t>
    </r>
    <r>
      <rPr>
        <b/>
        <sz val="12"/>
        <rFont val="Calibri"/>
        <family val="2"/>
        <scheme val="minor"/>
      </rPr>
      <t xml:space="preserve">Common Name: </t>
    </r>
    <r>
      <rPr>
        <sz val="12"/>
        <rFont val="Calibri"/>
        <family val="2"/>
        <scheme val="minor"/>
      </rPr>
      <t>Common Rush</t>
    </r>
  </si>
  <si>
    <r>
      <rPr>
        <b/>
        <sz val="12"/>
        <rFont val="Calibri"/>
        <family val="2"/>
        <scheme val="minor"/>
      </rPr>
      <t xml:space="preserve">Botanical Name: </t>
    </r>
    <r>
      <rPr>
        <sz val="12"/>
        <rFont val="Calibri"/>
        <family val="2"/>
        <scheme val="minor"/>
      </rPr>
      <t xml:space="preserve">Leymus condensatus 'Canyon Prince'
</t>
    </r>
    <r>
      <rPr>
        <b/>
        <sz val="12"/>
        <rFont val="Calibri"/>
        <family val="2"/>
        <scheme val="minor"/>
      </rPr>
      <t xml:space="preserve">Common Name: </t>
    </r>
    <r>
      <rPr>
        <sz val="12"/>
        <rFont val="Calibri"/>
        <family val="2"/>
        <scheme val="minor"/>
      </rPr>
      <t>Canyon Prince Giant Rye Grass</t>
    </r>
  </si>
  <si>
    <r>
      <rPr>
        <b/>
        <sz val="12"/>
        <rFont val="Calibri"/>
        <family val="2"/>
        <scheme val="minor"/>
      </rPr>
      <t xml:space="preserve">Botanical Name: </t>
    </r>
    <r>
      <rPr>
        <sz val="12"/>
        <rFont val="Calibri"/>
        <family val="2"/>
        <scheme val="minor"/>
      </rPr>
      <t xml:space="preserve">Muhlenbergia dubia
</t>
    </r>
    <r>
      <rPr>
        <b/>
        <sz val="12"/>
        <rFont val="Calibri"/>
        <family val="2"/>
        <scheme val="minor"/>
      </rPr>
      <t xml:space="preserve">Common Name: </t>
    </r>
    <r>
      <rPr>
        <sz val="12"/>
        <rFont val="Calibri"/>
        <family val="2"/>
        <scheme val="minor"/>
      </rPr>
      <t>Pine Muhly</t>
    </r>
  </si>
  <si>
    <r>
      <rPr>
        <b/>
        <sz val="12"/>
        <rFont val="Calibri"/>
        <family val="2"/>
        <scheme val="minor"/>
      </rPr>
      <t xml:space="preserve">Botanical Name: </t>
    </r>
    <r>
      <rPr>
        <sz val="12"/>
        <rFont val="Calibri"/>
        <family val="2"/>
        <scheme val="minor"/>
      </rPr>
      <t xml:space="preserve">Muhlenbergia rigens
</t>
    </r>
    <r>
      <rPr>
        <b/>
        <sz val="12"/>
        <rFont val="Calibri"/>
        <family val="2"/>
        <scheme val="minor"/>
      </rPr>
      <t xml:space="preserve">Common Name: </t>
    </r>
    <r>
      <rPr>
        <sz val="12"/>
        <rFont val="Calibri"/>
        <family val="2"/>
        <scheme val="minor"/>
      </rPr>
      <t>Deer Grass</t>
    </r>
  </si>
  <si>
    <r>
      <rPr>
        <b/>
        <sz val="12"/>
        <rFont val="Calibri"/>
        <family val="2"/>
        <scheme val="minor"/>
      </rPr>
      <t xml:space="preserve">Botanical Name: </t>
    </r>
    <r>
      <rPr>
        <sz val="12"/>
        <rFont val="Calibri"/>
        <family val="2"/>
        <scheme val="minor"/>
      </rPr>
      <t xml:space="preserve">Pennisetum orientale
</t>
    </r>
    <r>
      <rPr>
        <b/>
        <sz val="12"/>
        <rFont val="Calibri"/>
        <family val="2"/>
        <scheme val="minor"/>
      </rPr>
      <t xml:space="preserve">Common Name: </t>
    </r>
    <r>
      <rPr>
        <sz val="12"/>
        <rFont val="Calibri"/>
        <family val="2"/>
        <scheme val="minor"/>
      </rPr>
      <t>Fountain Grass</t>
    </r>
  </si>
  <si>
    <r>
      <rPr>
        <b/>
        <sz val="12"/>
        <rFont val="Calibri"/>
        <family val="2"/>
        <scheme val="minor"/>
      </rPr>
      <t xml:space="preserve">Botanical Name: </t>
    </r>
    <r>
      <rPr>
        <sz val="12"/>
        <rFont val="Calibri"/>
        <family val="2"/>
        <scheme val="minor"/>
      </rPr>
      <t xml:space="preserve">Salvia chamaedryoides
</t>
    </r>
    <r>
      <rPr>
        <b/>
        <sz val="12"/>
        <rFont val="Calibri"/>
        <family val="2"/>
        <scheme val="minor"/>
      </rPr>
      <t xml:space="preserve">Common Name: </t>
    </r>
    <r>
      <rPr>
        <sz val="12"/>
        <rFont val="Calibri"/>
        <family val="2"/>
        <scheme val="minor"/>
      </rPr>
      <t>Blue Sage</t>
    </r>
  </si>
  <si>
    <t>MULCH</t>
  </si>
  <si>
    <t>L4.20</t>
  </si>
  <si>
    <t>Layer Of Wood Chip Mulch
- 3" Thick</t>
  </si>
  <si>
    <t xml:space="preserve">PLANTER DRAINAGE </t>
  </si>
  <si>
    <t>1,2,3/L1.21</t>
  </si>
  <si>
    <t>Planter Drainage on Structure</t>
  </si>
  <si>
    <t>ROOT CONTROL BARRIER</t>
  </si>
  <si>
    <t>5/L1.21</t>
  </si>
  <si>
    <t xml:space="preserve">Root Control Barrier
-24" Deep </t>
  </si>
  <si>
    <t>IRRIGATION</t>
  </si>
  <si>
    <t>PIPING</t>
  </si>
  <si>
    <t>L3.01</t>
  </si>
  <si>
    <t>L3.10</t>
  </si>
  <si>
    <t>Mainline 1-1/2" Irrigation Line</t>
  </si>
  <si>
    <t xml:space="preserve">Sand Backfill </t>
  </si>
  <si>
    <t>Mainline 1-1/4" Irrigation Line</t>
  </si>
  <si>
    <t>Mainline 1" Irrigation Line</t>
  </si>
  <si>
    <t>Lateral 1" Irrigation Line</t>
  </si>
  <si>
    <t>PIPLINES</t>
  </si>
  <si>
    <t>L3.01-05</t>
  </si>
  <si>
    <t>L3.03-05</t>
  </si>
  <si>
    <t>Lateral 1" Irrigation Line
-Surface</t>
  </si>
  <si>
    <t>L3.05</t>
  </si>
  <si>
    <t>Mainline 1" Irrigation Line
-Surface</t>
  </si>
  <si>
    <t>DRIPLINES</t>
  </si>
  <si>
    <t>Irrigation Drip Line-HDL-06-12-CV</t>
  </si>
  <si>
    <t>SCH-40 PVC Sleeves</t>
  </si>
  <si>
    <t>AVR-075-Air Relief Valve</t>
  </si>
  <si>
    <t>L3.01-06</t>
  </si>
  <si>
    <t>Control Wire Stud Out from Floor</t>
  </si>
  <si>
    <t>CP100B-Munro Complete Pro II Booster Pump</t>
  </si>
  <si>
    <t>L3.01-03</t>
  </si>
  <si>
    <t>ECO-ID-Drip Operation Indicator</t>
  </si>
  <si>
    <t>Febco - 825YA-Size 1-1/2"</t>
  </si>
  <si>
    <t>Flomec-QS-200-1 1/2"</t>
  </si>
  <si>
    <t>Hunter-A2C-1200-SS w/(2) A2M-600 Expansion Modules</t>
  </si>
  <si>
    <t>Hunter-HQ33D-RC Quick Coupler Valve</t>
  </si>
  <si>
    <t>Hunter-ICV-FS w/AS-ADJ - 1"</t>
  </si>
  <si>
    <t>Hunter-ICZ-101-LF-25 for .5-20 GPM</t>
  </si>
  <si>
    <t>Hunter-RZWS-18-CV</t>
  </si>
  <si>
    <t>Hunter-Solar Sync Sen Wired Solar Sync Sensor</t>
  </si>
  <si>
    <t>Lateral Line Penetraion Stub</t>
  </si>
  <si>
    <t>Mainline Penetrarion Stub out from Floor</t>
  </si>
  <si>
    <t>Nibco-T-111 Gate Valve 2 1/2" and Smaller</t>
  </si>
  <si>
    <t>PLD-BV-Manual FLush Valve</t>
  </si>
  <si>
    <t>PLD-LOC-050-Drip Connector</t>
  </si>
  <si>
    <t>Side Wall Penetration</t>
  </si>
  <si>
    <t>Superior-3300 Series-Normally Open</t>
  </si>
  <si>
    <t>Watts-L223-HP-1 1/2"</t>
  </si>
  <si>
    <t>1-1/2"Irrigation Water Service Connection</t>
  </si>
  <si>
    <t>1-1/2" IRR water Connection Assembly</t>
  </si>
  <si>
    <t>1-1/2" IRR water meter</t>
  </si>
  <si>
    <t>L3.02-06</t>
  </si>
  <si>
    <t>Control Wire Conduit</t>
  </si>
  <si>
    <t>L3.02-04</t>
  </si>
  <si>
    <t>Non-Pressurized Lateral Routing</t>
  </si>
  <si>
    <t>L3.04-06</t>
  </si>
  <si>
    <t>Copper Mainline Routing-1"</t>
  </si>
  <si>
    <t>L3.02</t>
  </si>
  <si>
    <t>Copper Mainline Routing-1-1/4"</t>
  </si>
  <si>
    <t>Landscaping and Irrigation Sub Total</t>
  </si>
  <si>
    <t>MISC ITEMS</t>
  </si>
  <si>
    <t>Adjust Pull Box to Grade</t>
  </si>
  <si>
    <t>Misc. Items Sub Total</t>
  </si>
  <si>
    <t>TOTAL SITE WORKS</t>
  </si>
  <si>
    <t>EXCLUSIONS:</t>
  </si>
  <si>
    <t>Outdoor Lounge Furniture(By Owner)</t>
  </si>
  <si>
    <t>Outdoor Dining Furniture(By Owner)</t>
  </si>
  <si>
    <t>Outdoor Grill-(By Owner)</t>
  </si>
  <si>
    <t>Outdoor Patio Furniture-(By Owner)</t>
  </si>
  <si>
    <t>Anything not Mentioned above</t>
  </si>
  <si>
    <r>
      <t xml:space="preserve">P-104 - 2' X 2' IPE Wood Tile W/ Pedestal System
</t>
    </r>
    <r>
      <rPr>
        <b/>
        <sz val="12"/>
        <rFont val="Calibri"/>
        <family val="2"/>
        <scheme val="minor"/>
      </rPr>
      <t>- Fsc Certified Ipe
- Color: Brown
- Manufacturer: Bison Innovative Products (800) 333 4234</t>
    </r>
  </si>
  <si>
    <t>CONVEYANCE</t>
  </si>
  <si>
    <r>
      <t>Trash Chute System</t>
    </r>
    <r>
      <rPr>
        <b/>
        <sz val="12"/>
        <rFont val="Calibri"/>
        <family val="2"/>
        <scheme val="minor"/>
      </rPr>
      <t xml:space="preserve">
Height:</t>
    </r>
    <r>
      <rPr>
        <sz val="12"/>
        <rFont val="Calibri"/>
        <family val="2"/>
        <scheme val="minor"/>
      </rPr>
      <t xml:space="preserve"> 63'-8"</t>
    </r>
  </si>
  <si>
    <t>Trash Chutes Sub Total</t>
  </si>
  <si>
    <t>TRASH CHUTES</t>
  </si>
  <si>
    <r>
      <t xml:space="preserve">Lettering </t>
    </r>
    <r>
      <rPr>
        <b/>
        <sz val="12"/>
        <rFont val="Calibri"/>
        <family val="2"/>
        <scheme val="minor"/>
      </rPr>
      <t>"EV CHARGING ONLY"</t>
    </r>
  </si>
  <si>
    <r>
      <t xml:space="preserve">Lettering </t>
    </r>
    <r>
      <rPr>
        <b/>
        <sz val="12"/>
        <rFont val="Calibri"/>
        <family val="2"/>
        <scheme val="minor"/>
      </rPr>
      <t>"FUTURE EV"</t>
    </r>
  </si>
  <si>
    <r>
      <t xml:space="preserve">Lettering </t>
    </r>
    <r>
      <rPr>
        <b/>
        <sz val="12"/>
        <rFont val="Calibri"/>
        <family val="2"/>
        <scheme val="minor"/>
      </rPr>
      <t>"TANDEM"</t>
    </r>
  </si>
  <si>
    <t>Removal Of Conc. Box Structure
Area: 8 SF</t>
  </si>
  <si>
    <t>1 #4 Cont. in Wall @ Bench Height</t>
  </si>
  <si>
    <t>4" Domestic Water Connection Assembly</t>
  </si>
  <si>
    <t>Photovoltaic Solar System</t>
  </si>
  <si>
    <t>Main Communication Board</t>
  </si>
  <si>
    <t xml:space="preserve">Transformer </t>
  </si>
  <si>
    <t>PARKING MARKINGS</t>
  </si>
  <si>
    <t>Parking Markings Sub Total</t>
  </si>
  <si>
    <t xml:space="preserve">QTY. </t>
  </si>
  <si>
    <t>E-mail: estimate@msbestimating.com</t>
  </si>
  <si>
    <t xml:space="preserve">Contact: </t>
  </si>
  <si>
    <t>(305)-813-0053</t>
  </si>
  <si>
    <t>Contact: (305)-813-0053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</si>
</sst>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1" formatCode="_(* #,##0_);_(* \(#,##0\);_(* &quot;-&quot;_);_(@_)"/>
    <numFmt numFmtId="44" formatCode="_(&quot;$&quot;* #,##0.00_);_(&quot;$&quot;* \(#,##0.00\);_(&quot;$&quot;* &quot;-&quot;??_);_(@_)"/>
    <numFmt numFmtId="43" formatCode="_(* #,##0.00_);_(* \(#,##0.00\);_(* &quot;-&quot;??_);_(@_)"/>
    <numFmt numFmtId="165" formatCode="&quot;$&quot;#,##0"/>
    <numFmt numFmtId="166" formatCode="_(&quot;$&quot;* #,##0_);_(&quot;$&quot;* \(#,##0\);_(&quot;$&quot;* &quot;-&quot;??_);_(@_)"/>
    <numFmt numFmtId="167" formatCode="_(&quot;$&quot;* #,##0_);_(&quot;$&quot;* \(#,##0\);_(&quot;$&quot;* &quot;-&quot;?_);_(@_)"/>
    <numFmt numFmtId="168" formatCode="_(&quot;$&quot;* #,##0.00_);_(&quot;$&quot;* \(#,##0.00\);_(&quot;$&quot;* &quot;-&quot;?_);_(@_)"/>
    <numFmt numFmtId="169" formatCode="_(* #,##0_);_(* \(#,##0\);_(* &quot;-&quot;??_);_(@_)"/>
    <numFmt numFmtId="171" formatCode="0.000"/>
    <numFmt numFmtId="172" formatCode="_(* #,##0.00_);_(* \(#,##0.00\);_(* &quot;-&quot;_);_(@_)"/>
    <numFmt numFmtId="174" formatCode="0\ &quot;CY&quot;"/>
    <numFmt numFmtId="176" formatCode="_(* #,##0.000_);_(* \(#,##0.000\);_(* &quot;-&quot;_);_(@_)"/>
    <numFmt numFmtId="177" formatCode="0.0"/>
  </numFmts>
  <fonts count="61" x14ac:knownFonts="1">
    <font>
      <sz val="12"/>
      <name val="Arial"/>
    </font>
    <font>
      <sz val="11"/>
      <color theme="1"/>
      <name val="Calibri"/>
      <family val="2"/>
      <scheme val="minor"/>
    </font>
    <font>
      <sz val="11"/>
      <color theme="1"/>
      <name val="Calibri"/>
      <family val="2"/>
      <scheme val="minor"/>
    </font>
    <font>
      <sz val="11"/>
      <color theme="1"/>
      <name val="Calibri"/>
      <family val="2"/>
      <scheme val="minor"/>
    </font>
    <font>
      <b/>
      <sz val="12"/>
      <name val="Verdana"/>
      <family val="2"/>
    </font>
    <font>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2"/>
      <name val="Arial"/>
      <family val="2"/>
    </font>
    <font>
      <sz val="10"/>
      <name val="Arial"/>
      <family val="2"/>
    </font>
    <font>
      <sz val="12"/>
      <name val="Calibri"/>
      <family val="2"/>
      <scheme val="minor"/>
    </font>
    <font>
      <b/>
      <sz val="12"/>
      <name val="Calibri"/>
      <family val="2"/>
      <scheme val="minor"/>
    </font>
    <font>
      <b/>
      <sz val="12"/>
      <color theme="0"/>
      <name val="Calibri"/>
      <family val="2"/>
      <scheme val="minor"/>
    </font>
    <font>
      <u/>
      <sz val="12"/>
      <color theme="10"/>
      <name val="Arial"/>
      <family val="2"/>
    </font>
    <font>
      <sz val="12"/>
      <color theme="0"/>
      <name val="Calibri"/>
      <family val="2"/>
      <scheme val="minor"/>
    </font>
    <font>
      <sz val="12"/>
      <color theme="1"/>
      <name val="Calibri"/>
      <family val="2"/>
      <scheme val="minor"/>
    </font>
    <font>
      <u/>
      <sz val="12"/>
      <color theme="0"/>
      <name val="Arial"/>
      <family val="2"/>
    </font>
    <font>
      <b/>
      <sz val="12"/>
      <color theme="0"/>
      <name val="Verdana"/>
      <family val="2"/>
    </font>
    <font>
      <sz val="12"/>
      <name val="Arial"/>
      <family val="2"/>
    </font>
    <font>
      <b/>
      <u/>
      <sz val="12"/>
      <name val="Calibri"/>
      <family val="2"/>
      <scheme val="minor"/>
    </font>
    <font>
      <b/>
      <sz val="12"/>
      <color rgb="FFFF0000"/>
      <name val="Calibri"/>
      <family val="2"/>
      <scheme val="minor"/>
    </font>
    <font>
      <b/>
      <i/>
      <sz val="12"/>
      <color rgb="FF002060"/>
      <name val="Calibri"/>
      <family val="2"/>
      <scheme val="minor"/>
    </font>
    <font>
      <b/>
      <sz val="12"/>
      <color theme="0"/>
      <name val="Times New Roman"/>
      <family val="1"/>
    </font>
    <font>
      <b/>
      <sz val="12"/>
      <name val="Times New Roman"/>
      <family val="1"/>
    </font>
    <font>
      <sz val="12"/>
      <name val="Times New Roman"/>
      <family val="1"/>
    </font>
    <font>
      <sz val="14"/>
      <name val="Calibri"/>
      <family val="2"/>
      <scheme val="minor"/>
    </font>
    <font>
      <u/>
      <sz val="14"/>
      <color theme="0"/>
      <name val="Calibri"/>
      <family val="2"/>
      <scheme val="minor"/>
    </font>
    <font>
      <sz val="12"/>
      <color rgb="FFFF0000"/>
      <name val="Calibri"/>
      <family val="2"/>
      <scheme val="minor"/>
    </font>
    <font>
      <b/>
      <sz val="14"/>
      <name val="Calibri"/>
      <family val="2"/>
      <scheme val="minor"/>
    </font>
    <font>
      <b/>
      <sz val="16"/>
      <name val="Calibri"/>
      <family val="2"/>
      <scheme val="minor"/>
    </font>
    <font>
      <sz val="16"/>
      <name val="Calibri"/>
      <family val="2"/>
      <scheme val="minor"/>
    </font>
    <font>
      <b/>
      <sz val="16"/>
      <name val="Verdana"/>
      <family val="2"/>
    </font>
    <font>
      <i/>
      <sz val="16"/>
      <name val="Calibri"/>
      <family val="2"/>
      <scheme val="minor"/>
    </font>
    <font>
      <b/>
      <u/>
      <sz val="16"/>
      <name val="Calibri"/>
      <family val="2"/>
      <scheme val="minor"/>
    </font>
    <font>
      <sz val="16"/>
      <color rgb="FFFF0000"/>
      <name val="Calibri"/>
      <family val="2"/>
      <scheme val="minor"/>
    </font>
    <font>
      <b/>
      <sz val="14"/>
      <color theme="0"/>
      <name val="Calibri"/>
      <family val="2"/>
      <scheme val="minor"/>
    </font>
    <font>
      <b/>
      <u/>
      <sz val="16"/>
      <color theme="0"/>
      <name val="Calibri"/>
      <family val="2"/>
      <scheme val="minor"/>
    </font>
    <font>
      <b/>
      <sz val="16"/>
      <color theme="0"/>
      <name val="Calibri"/>
      <family val="2"/>
      <scheme val="minor"/>
    </font>
    <font>
      <sz val="14"/>
      <color theme="0"/>
      <name val="Calibri"/>
      <family val="2"/>
      <scheme val="minor"/>
    </font>
    <font>
      <u/>
      <sz val="11"/>
      <color indexed="12"/>
      <name val="Calibri"/>
      <family val="2"/>
    </font>
    <font>
      <b/>
      <i/>
      <sz val="12"/>
      <color rgb="FFFF0000"/>
      <name val="Calibri"/>
      <family val="2"/>
      <scheme val="minor"/>
    </font>
    <font>
      <b/>
      <sz val="12"/>
      <color rgb="FFFF0000"/>
      <name val="Verdana"/>
      <family val="2"/>
    </font>
    <font>
      <b/>
      <i/>
      <sz val="12"/>
      <name val="Calibri"/>
      <family val="2"/>
      <scheme val="minor"/>
    </font>
    <font>
      <b/>
      <sz val="12"/>
      <color rgb="FF002060"/>
      <name val="Calibri"/>
      <family val="2"/>
      <scheme val="minor"/>
    </font>
    <font>
      <b/>
      <u/>
      <sz val="12"/>
      <color rgb="FFFF0000"/>
      <name val="Calibri"/>
      <family val="2"/>
      <scheme val="minor"/>
    </font>
    <font>
      <u/>
      <sz val="12"/>
      <name val="Arial"/>
      <family val="2"/>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FED2DC"/>
        <bgColor indexed="64"/>
      </patternFill>
    </fill>
    <fill>
      <patternFill patternType="solid">
        <fgColor theme="0" tint="-0.249977111117893"/>
        <bgColor indexed="64"/>
      </patternFill>
    </fill>
    <fill>
      <patternFill patternType="solid">
        <fgColor rgb="FFFFC000"/>
        <bgColor indexed="64"/>
      </patternFill>
    </fill>
    <fill>
      <patternFill patternType="solid">
        <fgColor rgb="FF92D050"/>
        <bgColor indexed="64"/>
      </patternFill>
    </fill>
  </fills>
  <borders count="4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63">
    <xf numFmtId="0" fontId="0"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9" borderId="0" applyNumberFormat="0" applyBorder="0" applyAlignment="0" applyProtection="0"/>
    <xf numFmtId="0" fontId="8" fillId="3" borderId="0" applyNumberFormat="0" applyBorder="0" applyAlignment="0" applyProtection="0"/>
    <xf numFmtId="0" fontId="9" fillId="20" borderId="1" applyNumberFormat="0" applyAlignment="0" applyProtection="0"/>
    <xf numFmtId="0" fontId="10" fillId="21" borderId="2" applyNumberFormat="0" applyAlignment="0" applyProtection="0"/>
    <xf numFmtId="0" fontId="11" fillId="0" borderId="0" applyNumberFormat="0" applyFill="0" applyBorder="0" applyAlignment="0" applyProtection="0"/>
    <xf numFmtId="0" fontId="12" fillId="4" borderId="0" applyNumberFormat="0" applyBorder="0" applyAlignment="0" applyProtection="0"/>
    <xf numFmtId="0" fontId="13" fillId="0" borderId="3" applyNumberFormat="0" applyFill="0" applyAlignment="0" applyProtection="0"/>
    <xf numFmtId="0" fontId="14" fillId="0" borderId="4" applyNumberFormat="0" applyFill="0" applyAlignment="0" applyProtection="0"/>
    <xf numFmtId="0" fontId="15" fillId="0" borderId="5" applyNumberFormat="0" applyFill="0" applyAlignment="0" applyProtection="0"/>
    <xf numFmtId="0" fontId="15" fillId="0" borderId="0" applyNumberFormat="0" applyFill="0" applyBorder="0" applyAlignment="0" applyProtection="0"/>
    <xf numFmtId="0" fontId="16" fillId="7" borderId="1" applyNumberFormat="0" applyAlignment="0" applyProtection="0"/>
    <xf numFmtId="0" fontId="17" fillId="0" borderId="6" applyNumberFormat="0" applyFill="0" applyAlignment="0" applyProtection="0"/>
    <xf numFmtId="0" fontId="18" fillId="22" borderId="0" applyNumberFormat="0" applyBorder="0" applyAlignment="0" applyProtection="0"/>
    <xf numFmtId="0" fontId="5" fillId="0" borderId="0"/>
    <xf numFmtId="0" fontId="5" fillId="23" borderId="7" applyNumberFormat="0" applyFont="0" applyAlignment="0" applyProtection="0"/>
    <xf numFmtId="0" fontId="19" fillId="20" borderId="8" applyNumberFormat="0" applyAlignment="0" applyProtection="0"/>
    <xf numFmtId="0" fontId="20" fillId="0" borderId="0" applyNumberFormat="0" applyFill="0" applyBorder="0" applyAlignment="0" applyProtection="0"/>
    <xf numFmtId="0" fontId="21" fillId="0" borderId="9" applyNumberFormat="0" applyFill="0" applyAlignment="0" applyProtection="0"/>
    <xf numFmtId="0" fontId="22" fillId="0" borderId="0" applyNumberFormat="0" applyFill="0" applyBorder="0" applyAlignment="0" applyProtection="0"/>
    <xf numFmtId="0" fontId="3" fillId="0" borderId="0"/>
    <xf numFmtId="0" fontId="23" fillId="0" borderId="0"/>
    <xf numFmtId="0" fontId="5" fillId="0" borderId="0"/>
    <xf numFmtId="43" fontId="23" fillId="0" borderId="0" applyFont="0" applyFill="0" applyBorder="0" applyAlignment="0" applyProtection="0"/>
    <xf numFmtId="0" fontId="24" fillId="0" borderId="0"/>
    <xf numFmtId="43" fontId="5" fillId="0" borderId="0" applyFont="0" applyFill="0" applyBorder="0" applyAlignment="0" applyProtection="0"/>
    <xf numFmtId="0" fontId="5" fillId="0" borderId="0"/>
    <xf numFmtId="44" fontId="24" fillId="0" borderId="0" applyFont="0" applyFill="0" applyBorder="0" applyAlignment="0" applyProtection="0"/>
    <xf numFmtId="0" fontId="2" fillId="0" borderId="0"/>
    <xf numFmtId="0" fontId="5" fillId="0" borderId="0"/>
    <xf numFmtId="0" fontId="2" fillId="0" borderId="0"/>
    <xf numFmtId="0" fontId="28" fillId="0" borderId="0" applyNumberFormat="0" applyFill="0" applyBorder="0" applyAlignment="0" applyProtection="0"/>
    <xf numFmtId="44" fontId="5" fillId="0" borderId="0" applyFont="0" applyFill="0" applyBorder="0" applyAlignment="0" applyProtection="0"/>
    <xf numFmtId="44" fontId="33" fillId="0" borderId="0" applyFont="0" applyFill="0" applyBorder="0" applyAlignment="0" applyProtection="0"/>
    <xf numFmtId="9" fontId="33" fillId="0" borderId="0" applyFont="0" applyFill="0" applyBorder="0" applyAlignment="0" applyProtection="0"/>
    <xf numFmtId="9" fontId="5" fillId="0" borderId="0" applyFont="0" applyFill="0" applyBorder="0" applyAlignment="0" applyProtection="0"/>
    <xf numFmtId="0" fontId="5" fillId="0" borderId="0"/>
    <xf numFmtId="0" fontId="1" fillId="0" borderId="0"/>
    <xf numFmtId="44" fontId="5" fillId="0" borderId="0" applyFont="0" applyFill="0" applyBorder="0" applyAlignment="0" applyProtection="0"/>
    <xf numFmtId="0" fontId="54" fillId="0" borderId="0" applyNumberFormat="0" applyFill="0" applyBorder="0" applyAlignment="0" applyProtection="0">
      <alignment vertical="top"/>
      <protection locked="0"/>
    </xf>
  </cellStyleXfs>
  <cellXfs count="347">
    <xf numFmtId="0" fontId="0" fillId="0" borderId="0" xfId="0"/>
    <xf numFmtId="0" fontId="25" fillId="0" borderId="0" xfId="0" applyFont="1" applyAlignment="1">
      <alignment vertical="top"/>
    </xf>
    <xf numFmtId="0" fontId="25" fillId="0" borderId="12" xfId="0" applyFont="1" applyBorder="1" applyAlignment="1">
      <alignment horizontal="center" vertical="top"/>
    </xf>
    <xf numFmtId="0" fontId="25" fillId="0" borderId="0" xfId="0" applyFont="1" applyAlignment="1">
      <alignment horizontal="center" vertical="top"/>
    </xf>
    <xf numFmtId="2" fontId="25" fillId="0" borderId="0" xfId="0" applyNumberFormat="1" applyFont="1" applyAlignment="1">
      <alignment horizontal="center" vertical="top" wrapText="1"/>
    </xf>
    <xf numFmtId="165" fontId="25" fillId="0" borderId="0" xfId="0" applyNumberFormat="1" applyFont="1" applyAlignment="1">
      <alignment vertical="top"/>
    </xf>
    <xf numFmtId="0" fontId="30" fillId="25" borderId="0" xfId="0" applyFont="1" applyFill="1" applyAlignment="1">
      <alignment vertical="top"/>
    </xf>
    <xf numFmtId="2" fontId="25" fillId="0" borderId="0" xfId="0" applyNumberFormat="1" applyFont="1" applyAlignment="1">
      <alignment horizontal="left" vertical="top" wrapText="1"/>
    </xf>
    <xf numFmtId="0" fontId="25" fillId="24" borderId="0" xfId="0" applyFont="1" applyFill="1" applyAlignment="1">
      <alignment vertical="top"/>
    </xf>
    <xf numFmtId="1" fontId="25" fillId="0" borderId="0" xfId="0" applyNumberFormat="1" applyFont="1" applyAlignment="1">
      <alignment horizontal="center" vertical="top" wrapText="1"/>
    </xf>
    <xf numFmtId="0" fontId="25" fillId="0" borderId="0" xfId="0" applyFont="1" applyAlignment="1">
      <alignment horizontal="center" vertical="top" wrapText="1"/>
    </xf>
    <xf numFmtId="166" fontId="26" fillId="0" borderId="24" xfId="55" applyNumberFormat="1" applyFont="1" applyFill="1" applyBorder="1" applyAlignment="1">
      <alignment horizontal="center" vertical="top"/>
    </xf>
    <xf numFmtId="44" fontId="25" fillId="0" borderId="0" xfId="56" applyFont="1" applyBorder="1" applyAlignment="1">
      <alignment horizontal="center" vertical="top"/>
    </xf>
    <xf numFmtId="0" fontId="39" fillId="24" borderId="19" xfId="0" applyFont="1" applyFill="1" applyBorder="1" applyAlignment="1">
      <alignment horizontal="center" vertical="top" wrapText="1"/>
    </xf>
    <xf numFmtId="0" fontId="39" fillId="24" borderId="12" xfId="0" applyFont="1" applyFill="1" applyBorder="1" applyAlignment="1">
      <alignment horizontal="left" vertical="top"/>
    </xf>
    <xf numFmtId="14" fontId="39" fillId="24" borderId="12" xfId="0" applyNumberFormat="1" applyFont="1" applyFill="1" applyBorder="1" applyAlignment="1">
      <alignment horizontal="left" vertical="top"/>
    </xf>
    <xf numFmtId="0" fontId="30" fillId="25" borderId="0" xfId="45" applyFont="1" applyFill="1" applyAlignment="1">
      <alignment vertical="top"/>
    </xf>
    <xf numFmtId="0" fontId="41" fillId="0" borderId="0" xfId="45" applyFont="1" applyAlignment="1">
      <alignment vertical="top"/>
    </xf>
    <xf numFmtId="0" fontId="41" fillId="24" borderId="0" xfId="45" applyFont="1" applyFill="1" applyAlignment="1">
      <alignment vertical="top"/>
    </xf>
    <xf numFmtId="2" fontId="26" fillId="24" borderId="11" xfId="45" applyNumberFormat="1" applyFont="1" applyFill="1" applyBorder="1" applyAlignment="1">
      <alignment horizontal="left" vertical="top"/>
    </xf>
    <xf numFmtId="2" fontId="4" fillId="24" borderId="11" xfId="45" applyNumberFormat="1" applyFont="1" applyFill="1" applyBorder="1" applyAlignment="1">
      <alignment vertical="top"/>
    </xf>
    <xf numFmtId="0" fontId="25" fillId="0" borderId="0" xfId="45" applyFont="1" applyAlignment="1">
      <alignment vertical="top"/>
    </xf>
    <xf numFmtId="2" fontId="26" fillId="24" borderId="14" xfId="45" applyNumberFormat="1" applyFont="1" applyFill="1" applyBorder="1" applyAlignment="1">
      <alignment horizontal="left" vertical="top"/>
    </xf>
    <xf numFmtId="44" fontId="25" fillId="0" borderId="10" xfId="55" applyFont="1" applyFill="1" applyBorder="1" applyAlignment="1">
      <alignment horizontal="center" vertical="top"/>
    </xf>
    <xf numFmtId="44" fontId="25" fillId="0" borderId="10" xfId="56" applyFont="1" applyFill="1" applyBorder="1" applyAlignment="1">
      <alignment horizontal="center" vertical="top"/>
    </xf>
    <xf numFmtId="0" fontId="25" fillId="24" borderId="17" xfId="45" applyFont="1" applyFill="1" applyBorder="1" applyAlignment="1">
      <alignment horizontal="left" vertical="top"/>
    </xf>
    <xf numFmtId="0" fontId="25" fillId="0" borderId="12" xfId="45" applyFont="1" applyBorder="1" applyAlignment="1">
      <alignment horizontal="center" vertical="top"/>
    </xf>
    <xf numFmtId="2" fontId="25" fillId="0" borderId="0" xfId="45" applyNumberFormat="1" applyFont="1" applyAlignment="1">
      <alignment vertical="top" wrapText="1"/>
    </xf>
    <xf numFmtId="2" fontId="25" fillId="24" borderId="0" xfId="45" applyNumberFormat="1" applyFont="1" applyFill="1" applyAlignment="1">
      <alignment horizontal="center" vertical="top" wrapText="1"/>
    </xf>
    <xf numFmtId="2" fontId="25" fillId="0" borderId="0" xfId="45" applyNumberFormat="1" applyFont="1" applyAlignment="1">
      <alignment horizontal="center" vertical="top" wrapText="1"/>
    </xf>
    <xf numFmtId="0" fontId="25" fillId="26" borderId="0" xfId="45" applyFont="1" applyFill="1" applyAlignment="1">
      <alignment horizontal="center" vertical="top"/>
    </xf>
    <xf numFmtId="165" fontId="25" fillId="0" borderId="0" xfId="45" applyNumberFormat="1" applyFont="1" applyAlignment="1">
      <alignment vertical="top"/>
    </xf>
    <xf numFmtId="0" fontId="25" fillId="0" borderId="0" xfId="45" applyFont="1" applyAlignment="1">
      <alignment horizontal="center" vertical="top"/>
    </xf>
    <xf numFmtId="165" fontId="25" fillId="0" borderId="0" xfId="45" applyNumberFormat="1" applyFont="1" applyAlignment="1">
      <alignment horizontal="center" vertical="top"/>
    </xf>
    <xf numFmtId="0" fontId="25" fillId="24" borderId="19" xfId="45" applyFont="1" applyFill="1" applyBorder="1" applyAlignment="1">
      <alignment vertical="top"/>
    </xf>
    <xf numFmtId="0" fontId="25" fillId="24" borderId="0" xfId="45" applyFont="1" applyFill="1" applyAlignment="1">
      <alignment vertical="top"/>
    </xf>
    <xf numFmtId="2" fontId="56" fillId="24" borderId="27" xfId="45" applyNumberFormat="1" applyFont="1" applyFill="1" applyBorder="1" applyAlignment="1">
      <alignment horizontal="right" vertical="top"/>
    </xf>
    <xf numFmtId="44" fontId="25" fillId="0" borderId="10" xfId="55" applyFont="1" applyFill="1" applyBorder="1" applyAlignment="1" applyProtection="1">
      <alignment horizontal="center" vertical="top"/>
    </xf>
    <xf numFmtId="0" fontId="35" fillId="0" borderId="13" xfId="45" applyFont="1" applyBorder="1" applyAlignment="1">
      <alignment horizontal="left" vertical="top"/>
    </xf>
    <xf numFmtId="0" fontId="25" fillId="0" borderId="14" xfId="45" applyFont="1" applyBorder="1" applyAlignment="1">
      <alignment horizontal="center" vertical="top"/>
    </xf>
    <xf numFmtId="2" fontId="25" fillId="0" borderId="14" xfId="45" applyNumberFormat="1" applyFont="1" applyBorder="1" applyAlignment="1">
      <alignment horizontal="left" vertical="top" wrapText="1"/>
    </xf>
    <xf numFmtId="1" fontId="25" fillId="0" borderId="14" xfId="45" applyNumberFormat="1" applyFont="1" applyBorder="1" applyAlignment="1">
      <alignment horizontal="center" vertical="top" wrapText="1"/>
    </xf>
    <xf numFmtId="2" fontId="25" fillId="0" borderId="14" xfId="45" applyNumberFormat="1" applyFont="1" applyBorder="1" applyAlignment="1">
      <alignment horizontal="center" vertical="top" wrapText="1"/>
    </xf>
    <xf numFmtId="44" fontId="25" fillId="0" borderId="14" xfId="55" applyFont="1" applyBorder="1" applyAlignment="1">
      <alignment horizontal="center" vertical="top"/>
    </xf>
    <xf numFmtId="165" fontId="25" fillId="0" borderId="14" xfId="45" applyNumberFormat="1" applyFont="1" applyBorder="1" applyAlignment="1">
      <alignment vertical="top"/>
    </xf>
    <xf numFmtId="0" fontId="25" fillId="24" borderId="20" xfId="45" applyFont="1" applyFill="1" applyBorder="1" applyAlignment="1">
      <alignment vertical="top"/>
    </xf>
    <xf numFmtId="2" fontId="25" fillId="0" borderId="0" xfId="45" applyNumberFormat="1" applyFont="1" applyAlignment="1">
      <alignment horizontal="left" vertical="top" wrapText="1"/>
    </xf>
    <xf numFmtId="1" fontId="25" fillId="0" borderId="0" xfId="45" applyNumberFormat="1" applyFont="1" applyAlignment="1">
      <alignment horizontal="center" vertical="top" wrapText="1"/>
    </xf>
    <xf numFmtId="44" fontId="25" fillId="0" borderId="0" xfId="55" applyFont="1" applyBorder="1" applyAlignment="1">
      <alignment horizontal="center" vertical="top"/>
    </xf>
    <xf numFmtId="0" fontId="59" fillId="0" borderId="12" xfId="45" applyFont="1" applyBorder="1" applyAlignment="1">
      <alignment horizontal="left" vertical="top"/>
    </xf>
    <xf numFmtId="0" fontId="35" fillId="0" borderId="12" xfId="45" applyFont="1" applyBorder="1" applyAlignment="1">
      <alignment horizontal="left" vertical="top"/>
    </xf>
    <xf numFmtId="2" fontId="37" fillId="28" borderId="22" xfId="0" applyNumberFormat="1" applyFont="1" applyFill="1" applyBorder="1" applyAlignment="1">
      <alignment horizontal="left" vertical="top"/>
    </xf>
    <xf numFmtId="2" fontId="37" fillId="28" borderId="15" xfId="0" applyNumberFormat="1" applyFont="1" applyFill="1" applyBorder="1" applyAlignment="1">
      <alignment horizontal="left" vertical="top" wrapText="1"/>
    </xf>
    <xf numFmtId="2" fontId="37" fillId="28" borderId="15" xfId="0" applyNumberFormat="1" applyFont="1" applyFill="1" applyBorder="1" applyAlignment="1">
      <alignment horizontal="left" vertical="top"/>
    </xf>
    <xf numFmtId="2" fontId="32" fillId="28" borderId="15" xfId="0" applyNumberFormat="1" applyFont="1" applyFill="1" applyBorder="1" applyAlignment="1">
      <alignment horizontal="left" vertical="top"/>
    </xf>
    <xf numFmtId="2" fontId="32" fillId="28" borderId="15" xfId="0" applyNumberFormat="1" applyFont="1" applyFill="1" applyBorder="1" applyAlignment="1">
      <alignment horizontal="center" vertical="top"/>
    </xf>
    <xf numFmtId="2" fontId="29" fillId="28" borderId="15" xfId="0" applyNumberFormat="1" applyFont="1" applyFill="1" applyBorder="1" applyAlignment="1">
      <alignment horizontal="center" vertical="top"/>
    </xf>
    <xf numFmtId="44" fontId="29" fillId="28" borderId="15" xfId="56" applyFont="1" applyFill="1" applyBorder="1" applyAlignment="1">
      <alignment horizontal="center" vertical="top"/>
    </xf>
    <xf numFmtId="2" fontId="37" fillId="28" borderId="23" xfId="0" applyNumberFormat="1" applyFont="1" applyFill="1" applyBorder="1" applyAlignment="1">
      <alignment horizontal="right" vertical="top"/>
    </xf>
    <xf numFmtId="0" fontId="25" fillId="28" borderId="11" xfId="0" applyFont="1" applyFill="1" applyBorder="1" applyAlignment="1">
      <alignment vertical="top"/>
    </xf>
    <xf numFmtId="0" fontId="29" fillId="28" borderId="0" xfId="0" applyFont="1" applyFill="1" applyAlignment="1">
      <alignment horizontal="center" vertical="top" wrapText="1"/>
    </xf>
    <xf numFmtId="0" fontId="25" fillId="28" borderId="0" xfId="0" applyFont="1" applyFill="1" applyAlignment="1">
      <alignment vertical="top"/>
    </xf>
    <xf numFmtId="2" fontId="31" fillId="28" borderId="14" xfId="54" applyNumberFormat="1" applyFont="1" applyFill="1" applyBorder="1" applyAlignment="1">
      <alignment horizontal="left" vertical="top"/>
    </xf>
    <xf numFmtId="44" fontId="29" fillId="28" borderId="14" xfId="55" applyFont="1" applyFill="1" applyBorder="1" applyAlignment="1">
      <alignment horizontal="center" vertical="top"/>
    </xf>
    <xf numFmtId="0" fontId="25" fillId="27" borderId="0" xfId="0" applyFont="1" applyFill="1" applyAlignment="1">
      <alignment vertical="top"/>
    </xf>
    <xf numFmtId="0" fontId="25" fillId="28" borderId="0" xfId="45" applyFont="1" applyFill="1" applyAlignment="1">
      <alignment vertical="top"/>
    </xf>
    <xf numFmtId="0" fontId="29" fillId="28" borderId="0" xfId="45" applyFont="1" applyFill="1" applyAlignment="1">
      <alignment horizontal="center" vertical="top" wrapText="1"/>
    </xf>
    <xf numFmtId="1" fontId="27" fillId="28" borderId="13" xfId="45" applyNumberFormat="1" applyFont="1" applyFill="1" applyBorder="1" applyAlignment="1">
      <alignment horizontal="left" vertical="top"/>
    </xf>
    <xf numFmtId="0" fontId="29" fillId="28" borderId="14" xfId="45" applyFont="1" applyFill="1" applyBorder="1" applyAlignment="1">
      <alignment horizontal="center" vertical="top"/>
    </xf>
    <xf numFmtId="2" fontId="29" fillId="28" borderId="14" xfId="45" applyNumberFormat="1" applyFont="1" applyFill="1" applyBorder="1" applyAlignment="1">
      <alignment horizontal="left" vertical="top" wrapText="1"/>
    </xf>
    <xf numFmtId="1" fontId="29" fillId="28" borderId="14" xfId="45" applyNumberFormat="1" applyFont="1" applyFill="1" applyBorder="1" applyAlignment="1">
      <alignment horizontal="center" vertical="top"/>
    </xf>
    <xf numFmtId="2" fontId="29" fillId="28" borderId="14" xfId="45" applyNumberFormat="1" applyFont="1" applyFill="1" applyBorder="1" applyAlignment="1">
      <alignment horizontal="center" vertical="top" wrapText="1"/>
    </xf>
    <xf numFmtId="166" fontId="27" fillId="28" borderId="14" xfId="45" applyNumberFormat="1" applyFont="1" applyFill="1" applyBorder="1" applyAlignment="1">
      <alignment horizontal="left" vertical="top"/>
    </xf>
    <xf numFmtId="166" fontId="27" fillId="28" borderId="20" xfId="45" applyNumberFormat="1" applyFont="1" applyFill="1" applyBorder="1" applyAlignment="1">
      <alignment horizontal="left" vertical="top"/>
    </xf>
    <xf numFmtId="0" fontId="50" fillId="28" borderId="22" xfId="45" applyFont="1" applyFill="1" applyBorder="1" applyAlignment="1">
      <alignment horizontal="left" vertical="top"/>
    </xf>
    <xf numFmtId="2" fontId="51" fillId="28" borderId="15" xfId="45" applyNumberFormat="1" applyFont="1" applyFill="1" applyBorder="1" applyAlignment="1">
      <alignment horizontal="left" vertical="top" wrapText="1"/>
    </xf>
    <xf numFmtId="41" fontId="52" fillId="28" borderId="15" xfId="45" applyNumberFormat="1" applyFont="1" applyFill="1" applyBorder="1" applyAlignment="1">
      <alignment horizontal="center" vertical="top"/>
    </xf>
    <xf numFmtId="0" fontId="52" fillId="28" borderId="15" xfId="45" applyFont="1" applyFill="1" applyBorder="1" applyAlignment="1">
      <alignment horizontal="center" vertical="top"/>
    </xf>
    <xf numFmtId="168" fontId="52" fillId="28" borderId="15" xfId="45" applyNumberFormat="1" applyFont="1" applyFill="1" applyBorder="1" applyAlignment="1">
      <alignment horizontal="center" vertical="top"/>
    </xf>
    <xf numFmtId="2" fontId="4" fillId="24" borderId="14" xfId="45" applyNumberFormat="1" applyFont="1" applyFill="1" applyBorder="1" applyAlignment="1">
      <alignment vertical="top"/>
    </xf>
    <xf numFmtId="0" fontId="25" fillId="24" borderId="14" xfId="45" applyFont="1" applyFill="1" applyBorder="1" applyAlignment="1">
      <alignment vertical="top"/>
    </xf>
    <xf numFmtId="2" fontId="38" fillId="24" borderId="26" xfId="0" applyNumberFormat="1" applyFont="1" applyFill="1" applyBorder="1" applyAlignment="1">
      <alignment horizontal="left" vertical="top"/>
    </xf>
    <xf numFmtId="0" fontId="39" fillId="24" borderId="27" xfId="0" applyFont="1" applyFill="1" applyBorder="1" applyAlignment="1">
      <alignment horizontal="center" vertical="top" wrapText="1"/>
    </xf>
    <xf numFmtId="0" fontId="38" fillId="24" borderId="26" xfId="0" applyFont="1" applyFill="1" applyBorder="1" applyAlignment="1">
      <alignment horizontal="left" vertical="top"/>
    </xf>
    <xf numFmtId="0" fontId="26" fillId="24" borderId="11" xfId="0" applyFont="1" applyFill="1" applyBorder="1" applyAlignment="1">
      <alignment horizontal="left" vertical="top"/>
    </xf>
    <xf numFmtId="44" fontId="35" fillId="24" borderId="11" xfId="0" applyNumberFormat="1" applyFont="1" applyFill="1" applyBorder="1" applyAlignment="1">
      <alignment horizontal="left" vertical="top"/>
    </xf>
    <xf numFmtId="2" fontId="4" fillId="24" borderId="11" xfId="0" applyNumberFormat="1" applyFont="1" applyFill="1" applyBorder="1" applyAlignment="1">
      <alignment vertical="top"/>
    </xf>
    <xf numFmtId="44" fontId="26" fillId="24" borderId="11" xfId="0" applyNumberFormat="1" applyFont="1" applyFill="1" applyBorder="1" applyAlignment="1">
      <alignment horizontal="left" vertical="top"/>
    </xf>
    <xf numFmtId="14" fontId="25" fillId="24" borderId="0" xfId="0" applyNumberFormat="1" applyFont="1" applyFill="1" applyAlignment="1">
      <alignment horizontal="left" vertical="top"/>
    </xf>
    <xf numFmtId="44" fontId="35" fillId="24" borderId="0" xfId="0" applyNumberFormat="1" applyFont="1" applyFill="1" applyAlignment="1">
      <alignment horizontal="left" vertical="top"/>
    </xf>
    <xf numFmtId="2" fontId="4" fillId="24" borderId="0" xfId="45" applyNumberFormat="1" applyFont="1" applyFill="1" applyAlignment="1">
      <alignment vertical="top"/>
    </xf>
    <xf numFmtId="2" fontId="26" fillId="24" borderId="19" xfId="45" applyNumberFormat="1" applyFont="1" applyFill="1" applyBorder="1" applyAlignment="1">
      <alignment horizontal="left" vertical="top"/>
    </xf>
    <xf numFmtId="2" fontId="26" fillId="24" borderId="0" xfId="45" applyNumberFormat="1" applyFont="1" applyFill="1" applyAlignment="1">
      <alignment horizontal="left" vertical="top"/>
    </xf>
    <xf numFmtId="2" fontId="28" fillId="24" borderId="19" xfId="54" applyNumberFormat="1" applyFill="1" applyBorder="1" applyAlignment="1">
      <alignment horizontal="center" vertical="top"/>
    </xf>
    <xf numFmtId="0" fontId="38" fillId="24" borderId="13" xfId="0" applyFont="1" applyFill="1" applyBorder="1" applyAlignment="1">
      <alignment horizontal="left" vertical="top"/>
    </xf>
    <xf numFmtId="0" fontId="39" fillId="24" borderId="20" xfId="0" applyFont="1" applyFill="1" applyBorder="1" applyAlignment="1">
      <alignment horizontal="center" vertical="top" wrapText="1"/>
    </xf>
    <xf numFmtId="166" fontId="38" fillId="24" borderId="13" xfId="55" applyNumberFormat="1" applyFont="1" applyFill="1" applyBorder="1" applyAlignment="1" applyProtection="1">
      <alignment horizontal="left" vertical="top"/>
    </xf>
    <xf numFmtId="166" fontId="26" fillId="24" borderId="14" xfId="55" applyNumberFormat="1" applyFont="1" applyFill="1" applyBorder="1" applyAlignment="1" applyProtection="1">
      <alignment horizontal="left" vertical="top"/>
    </xf>
    <xf numFmtId="44" fontId="35" fillId="24" borderId="14" xfId="0" applyNumberFormat="1" applyFont="1" applyFill="1" applyBorder="1" applyAlignment="1">
      <alignment horizontal="left" vertical="top"/>
    </xf>
    <xf numFmtId="2" fontId="28" fillId="24" borderId="20" xfId="54" applyNumberFormat="1" applyFill="1" applyBorder="1" applyAlignment="1">
      <alignment horizontal="center" vertical="top"/>
    </xf>
    <xf numFmtId="0" fontId="27" fillId="28" borderId="26" xfId="0" applyFont="1" applyFill="1" applyBorder="1" applyAlignment="1">
      <alignment horizontal="center" vertical="top" wrapText="1"/>
    </xf>
    <xf numFmtId="1" fontId="27" fillId="28" borderId="11" xfId="0" applyNumberFormat="1" applyFont="1" applyFill="1" applyBorder="1" applyAlignment="1">
      <alignment horizontal="center" vertical="top" wrapText="1"/>
    </xf>
    <xf numFmtId="0" fontId="27" fillId="28" borderId="11" xfId="0" applyFont="1" applyFill="1" applyBorder="1" applyAlignment="1">
      <alignment horizontal="center" vertical="top" wrapText="1"/>
    </xf>
    <xf numFmtId="165" fontId="27" fillId="28" borderId="27" xfId="0" applyNumberFormat="1" applyFont="1" applyFill="1" applyBorder="1" applyAlignment="1">
      <alignment horizontal="center" vertical="top" wrapText="1"/>
    </xf>
    <xf numFmtId="166" fontId="25" fillId="0" borderId="10" xfId="55" applyNumberFormat="1" applyFont="1" applyFill="1" applyBorder="1" applyAlignment="1">
      <alignment horizontal="center" vertical="top"/>
    </xf>
    <xf numFmtId="166" fontId="26" fillId="0" borderId="10" xfId="55" applyNumberFormat="1" applyFont="1" applyFill="1" applyBorder="1" applyAlignment="1">
      <alignment horizontal="center" vertical="top"/>
    </xf>
    <xf numFmtId="1" fontId="27" fillId="28" borderId="10" xfId="0" applyNumberFormat="1" applyFont="1" applyFill="1" applyBorder="1" applyAlignment="1">
      <alignment horizontal="left" vertical="top"/>
    </xf>
    <xf numFmtId="1" fontId="27" fillId="28" borderId="10" xfId="0" applyNumberFormat="1" applyFont="1" applyFill="1" applyBorder="1" applyAlignment="1">
      <alignment horizontal="left" vertical="top" wrapText="1"/>
    </xf>
    <xf numFmtId="0" fontId="29" fillId="28" borderId="10" xfId="0" applyFont="1" applyFill="1" applyBorder="1" applyAlignment="1">
      <alignment horizontal="left" vertical="top" wrapText="1"/>
    </xf>
    <xf numFmtId="1" fontId="29" fillId="28" borderId="10" xfId="0" applyNumberFormat="1" applyFont="1" applyFill="1" applyBorder="1" applyAlignment="1">
      <alignment horizontal="center" vertical="top"/>
    </xf>
    <xf numFmtId="41" fontId="29" fillId="28" borderId="10" xfId="0" applyNumberFormat="1" applyFont="1" applyFill="1" applyBorder="1" applyAlignment="1">
      <alignment horizontal="right" vertical="top"/>
    </xf>
    <xf numFmtId="0" fontId="29" fillId="28" borderId="10" xfId="0" applyFont="1" applyFill="1" applyBorder="1" applyAlignment="1">
      <alignment horizontal="center" vertical="top"/>
    </xf>
    <xf numFmtId="166" fontId="27" fillId="28" borderId="10" xfId="0" applyNumberFormat="1" applyFont="1" applyFill="1" applyBorder="1" applyAlignment="1">
      <alignment horizontal="left" vertical="top"/>
    </xf>
    <xf numFmtId="0" fontId="29" fillId="28" borderId="10" xfId="0" applyFont="1" applyFill="1" applyBorder="1" applyAlignment="1">
      <alignment horizontal="center" vertical="top" wrapText="1"/>
    </xf>
    <xf numFmtId="2" fontId="29" fillId="28" borderId="10" xfId="0" applyNumberFormat="1" applyFont="1" applyFill="1" applyBorder="1" applyAlignment="1">
      <alignment horizontal="left" vertical="top" wrapText="1"/>
    </xf>
    <xf numFmtId="2" fontId="29" fillId="28" borderId="10" xfId="0" applyNumberFormat="1" applyFont="1" applyFill="1" applyBorder="1" applyAlignment="1">
      <alignment horizontal="center" vertical="top" wrapText="1"/>
    </xf>
    <xf numFmtId="2" fontId="31" fillId="28" borderId="10" xfId="54" applyNumberFormat="1" applyFont="1" applyFill="1" applyBorder="1" applyAlignment="1">
      <alignment horizontal="left" vertical="top"/>
    </xf>
    <xf numFmtId="44" fontId="29" fillId="28" borderId="10" xfId="55" applyFont="1" applyFill="1" applyBorder="1" applyAlignment="1">
      <alignment horizontal="center" vertical="top"/>
    </xf>
    <xf numFmtId="1" fontId="27" fillId="28" borderId="21" xfId="0" applyNumberFormat="1" applyFont="1" applyFill="1" applyBorder="1" applyAlignment="1">
      <alignment horizontal="left" vertical="top"/>
    </xf>
    <xf numFmtId="166" fontId="27" fillId="28" borderId="24" xfId="0" applyNumberFormat="1" applyFont="1" applyFill="1" applyBorder="1" applyAlignment="1">
      <alignment horizontal="left" vertical="top"/>
    </xf>
    <xf numFmtId="0" fontId="25" fillId="0" borderId="10" xfId="45" applyFont="1" applyBorder="1" applyAlignment="1">
      <alignment horizontal="center" vertical="top" wrapText="1"/>
    </xf>
    <xf numFmtId="1" fontId="40" fillId="0" borderId="10" xfId="45" applyNumberFormat="1" applyFont="1" applyBorder="1" applyAlignment="1">
      <alignment horizontal="right" vertical="top"/>
    </xf>
    <xf numFmtId="2" fontId="25" fillId="0" borderId="10" xfId="45" applyNumberFormat="1" applyFont="1" applyBorder="1" applyAlignment="1">
      <alignment horizontal="left" vertical="top" wrapText="1"/>
    </xf>
    <xf numFmtId="1" fontId="25" fillId="0" borderId="10" xfId="45" applyNumberFormat="1" applyFont="1" applyBorder="1" applyAlignment="1">
      <alignment horizontal="center" vertical="top"/>
    </xf>
    <xf numFmtId="9" fontId="25" fillId="0" borderId="10" xfId="58" applyFont="1" applyFill="1" applyBorder="1" applyAlignment="1" applyProtection="1">
      <alignment horizontal="center" vertical="top"/>
    </xf>
    <xf numFmtId="41" fontId="25" fillId="0" borderId="10" xfId="45" applyNumberFormat="1" applyFont="1" applyBorder="1" applyAlignment="1">
      <alignment horizontal="center" vertical="top"/>
    </xf>
    <xf numFmtId="0" fontId="25" fillId="0" borderId="10" xfId="45" applyFont="1" applyBorder="1" applyAlignment="1">
      <alignment horizontal="center" vertical="top"/>
    </xf>
    <xf numFmtId="168" fontId="25" fillId="0" borderId="10" xfId="45" applyNumberFormat="1" applyFont="1" applyBorder="1" applyAlignment="1">
      <alignment horizontal="center" vertical="top"/>
    </xf>
    <xf numFmtId="44" fontId="41" fillId="0" borderId="24" xfId="45" applyNumberFormat="1" applyFont="1" applyBorder="1" applyAlignment="1">
      <alignment vertical="top"/>
    </xf>
    <xf numFmtId="0" fontId="25" fillId="0" borderId="21" xfId="45" applyFont="1" applyBorder="1" applyAlignment="1">
      <alignment horizontal="center" vertical="top"/>
    </xf>
    <xf numFmtId="0" fontId="25" fillId="0" borderId="25" xfId="45" applyFont="1" applyBorder="1" applyAlignment="1">
      <alignment horizontal="center" vertical="top"/>
    </xf>
    <xf numFmtId="0" fontId="25" fillId="0" borderId="28" xfId="45" applyFont="1" applyBorder="1" applyAlignment="1">
      <alignment horizontal="center" vertical="top" wrapText="1"/>
    </xf>
    <xf numFmtId="0" fontId="26" fillId="0" borderId="28" xfId="45" applyFont="1" applyBorder="1" applyAlignment="1">
      <alignment vertical="top"/>
    </xf>
    <xf numFmtId="0" fontId="26" fillId="0" borderId="28" xfId="45" applyFont="1" applyBorder="1" applyAlignment="1">
      <alignment horizontal="center" vertical="center"/>
    </xf>
    <xf numFmtId="0" fontId="26" fillId="0" borderId="28" xfId="45" applyFont="1" applyBorder="1" applyAlignment="1">
      <alignment horizontal="left" vertical="top"/>
    </xf>
    <xf numFmtId="1" fontId="25" fillId="0" borderId="28" xfId="45" applyNumberFormat="1" applyFont="1" applyBorder="1" applyAlignment="1">
      <alignment horizontal="center" vertical="top"/>
    </xf>
    <xf numFmtId="0" fontId="25" fillId="0" borderId="28" xfId="45" applyFont="1" applyBorder="1" applyAlignment="1">
      <alignment vertical="top"/>
    </xf>
    <xf numFmtId="44" fontId="25" fillId="0" borderId="28" xfId="55" applyFont="1" applyFill="1" applyBorder="1" applyAlignment="1">
      <alignment vertical="top"/>
    </xf>
    <xf numFmtId="167" fontId="26" fillId="0" borderId="35" xfId="45" applyNumberFormat="1" applyFont="1" applyBorder="1" applyAlignment="1">
      <alignment horizontal="center" vertical="top"/>
    </xf>
    <xf numFmtId="167" fontId="25" fillId="0" borderId="10" xfId="45" applyNumberFormat="1" applyFont="1" applyBorder="1" applyAlignment="1">
      <alignment horizontal="center" vertical="top"/>
    </xf>
    <xf numFmtId="0" fontId="25" fillId="0" borderId="10" xfId="0" applyFont="1" applyBorder="1" applyAlignment="1">
      <alignment horizontal="center" vertical="top" wrapText="1"/>
    </xf>
    <xf numFmtId="1" fontId="25" fillId="0" borderId="10" xfId="0" applyNumberFormat="1" applyFont="1" applyBorder="1" applyAlignment="1">
      <alignment horizontal="right" vertical="top"/>
    </xf>
    <xf numFmtId="2" fontId="26" fillId="0" borderId="10" xfId="0" applyNumberFormat="1" applyFont="1" applyBorder="1" applyAlignment="1">
      <alignment horizontal="right" vertical="top" wrapText="1"/>
    </xf>
    <xf numFmtId="41" fontId="25" fillId="0" borderId="10" xfId="0" applyNumberFormat="1" applyFont="1" applyBorder="1" applyAlignment="1">
      <alignment horizontal="center" vertical="top"/>
    </xf>
    <xf numFmtId="9" fontId="25" fillId="0" borderId="10" xfId="0" applyNumberFormat="1" applyFont="1" applyBorder="1" applyAlignment="1">
      <alignment horizontal="center" vertical="top"/>
    </xf>
    <xf numFmtId="0" fontId="25" fillId="0" borderId="10" xfId="0" applyFont="1" applyBorder="1" applyAlignment="1">
      <alignment horizontal="center" vertical="top"/>
    </xf>
    <xf numFmtId="168" fontId="25" fillId="0" borderId="10" xfId="0" applyNumberFormat="1" applyFont="1" applyBorder="1" applyAlignment="1">
      <alignment horizontal="center" vertical="top"/>
    </xf>
    <xf numFmtId="166" fontId="25" fillId="0" borderId="10" xfId="0" applyNumberFormat="1" applyFont="1" applyBorder="1" applyAlignment="1">
      <alignment horizontal="center" vertical="top"/>
    </xf>
    <xf numFmtId="0" fontId="25" fillId="0" borderId="24" xfId="0" applyFont="1" applyBorder="1" applyAlignment="1">
      <alignment vertical="top"/>
    </xf>
    <xf numFmtId="1" fontId="25" fillId="0" borderId="10" xfId="0" applyNumberFormat="1" applyFont="1" applyBorder="1" applyAlignment="1">
      <alignment horizontal="center" vertical="top"/>
    </xf>
    <xf numFmtId="0" fontId="25" fillId="0" borderId="10" xfId="0" applyFont="1" applyBorder="1" applyAlignment="1">
      <alignment vertical="top" wrapText="1"/>
    </xf>
    <xf numFmtId="0" fontId="26" fillId="0" borderId="10" xfId="0" applyFont="1" applyBorder="1" applyAlignment="1">
      <alignment vertical="top"/>
    </xf>
    <xf numFmtId="0" fontId="26" fillId="0" borderId="10" xfId="0" applyFont="1" applyBorder="1" applyAlignment="1">
      <alignment horizontal="left" vertical="top"/>
    </xf>
    <xf numFmtId="0" fontId="25" fillId="0" borderId="10" xfId="0" applyFont="1" applyBorder="1" applyAlignment="1">
      <alignment vertical="top"/>
    </xf>
    <xf numFmtId="44" fontId="25" fillId="0" borderId="10" xfId="55" applyFont="1" applyFill="1" applyBorder="1" applyAlignment="1">
      <alignment vertical="top"/>
    </xf>
    <xf numFmtId="0" fontId="30" fillId="0" borderId="24" xfId="0" applyFont="1" applyBorder="1" applyAlignment="1">
      <alignment vertical="top"/>
    </xf>
    <xf numFmtId="2" fontId="26" fillId="0" borderId="10" xfId="0" applyNumberFormat="1" applyFont="1" applyBorder="1" applyAlignment="1">
      <alignment horizontal="left" vertical="top" wrapText="1"/>
    </xf>
    <xf numFmtId="167" fontId="26" fillId="0" borderId="10" xfId="0" applyNumberFormat="1" applyFont="1" applyBorder="1" applyAlignment="1">
      <alignment horizontal="center" vertical="top"/>
    </xf>
    <xf numFmtId="2" fontId="34" fillId="0" borderId="10" xfId="0" applyNumberFormat="1" applyFont="1" applyBorder="1" applyAlignment="1">
      <alignment horizontal="left" vertical="top" wrapText="1"/>
    </xf>
    <xf numFmtId="166" fontId="25" fillId="0" borderId="10" xfId="45" applyNumberFormat="1" applyFont="1" applyBorder="1" applyAlignment="1">
      <alignment horizontal="center" vertical="top"/>
    </xf>
    <xf numFmtId="167" fontId="26" fillId="0" borderId="24" xfId="45" applyNumberFormat="1" applyFont="1" applyBorder="1" applyAlignment="1">
      <alignment horizontal="center" vertical="top"/>
    </xf>
    <xf numFmtId="44" fontId="25" fillId="0" borderId="10" xfId="0" applyNumberFormat="1" applyFont="1" applyBorder="1" applyAlignment="1">
      <alignment horizontal="center" vertical="top"/>
    </xf>
    <xf numFmtId="1" fontId="40" fillId="0" borderId="10" xfId="45" applyNumberFormat="1" applyFont="1" applyBorder="1" applyAlignment="1">
      <alignment horizontal="right" vertical="top" wrapText="1"/>
    </xf>
    <xf numFmtId="2" fontId="25" fillId="0" borderId="10" xfId="0" applyNumberFormat="1" applyFont="1" applyBorder="1" applyAlignment="1">
      <alignment horizontal="left" vertical="top" wrapText="1"/>
    </xf>
    <xf numFmtId="2" fontId="26" fillId="0" borderId="10" xfId="0" applyNumberFormat="1" applyFont="1" applyBorder="1" applyAlignment="1">
      <alignment horizontal="center" vertical="top" wrapText="1"/>
    </xf>
    <xf numFmtId="2" fontId="25" fillId="0" borderId="10" xfId="0" applyNumberFormat="1" applyFont="1" applyBorder="1" applyAlignment="1">
      <alignment horizontal="right" vertical="top" wrapText="1"/>
    </xf>
    <xf numFmtId="1" fontId="25" fillId="0" borderId="10" xfId="0" applyNumberFormat="1" applyFont="1" applyBorder="1" applyAlignment="1">
      <alignment vertical="top"/>
    </xf>
    <xf numFmtId="9" fontId="25" fillId="0" borderId="10" xfId="0" applyNumberFormat="1" applyFont="1" applyBorder="1" applyAlignment="1">
      <alignment vertical="top"/>
    </xf>
    <xf numFmtId="169" fontId="25" fillId="0" borderId="10" xfId="0" applyNumberFormat="1" applyFont="1" applyBorder="1" applyAlignment="1">
      <alignment horizontal="center" vertical="top"/>
    </xf>
    <xf numFmtId="0" fontId="36" fillId="0" borderId="10" xfId="0" applyFont="1" applyBorder="1" applyAlignment="1">
      <alignment vertical="top" wrapText="1"/>
    </xf>
    <xf numFmtId="1" fontId="40" fillId="0" borderId="10" xfId="45" applyNumberFormat="1" applyFont="1" applyBorder="1" applyAlignment="1">
      <alignment horizontal="center" vertical="top"/>
    </xf>
    <xf numFmtId="1" fontId="40" fillId="0" borderId="10" xfId="45" applyNumberFormat="1" applyFont="1" applyBorder="1" applyAlignment="1">
      <alignment horizontal="center" vertical="top" wrapText="1"/>
    </xf>
    <xf numFmtId="2" fontId="26" fillId="0" borderId="10" xfId="45" applyNumberFormat="1" applyFont="1" applyBorder="1" applyAlignment="1">
      <alignment horizontal="left" vertical="top" wrapText="1"/>
    </xf>
    <xf numFmtId="0" fontId="26" fillId="0" borderId="10" xfId="0" applyFont="1" applyBorder="1" applyAlignment="1">
      <alignment horizontal="right" vertical="top"/>
    </xf>
    <xf numFmtId="2" fontId="26" fillId="0" borderId="10" xfId="0" applyNumberFormat="1" applyFont="1" applyBorder="1" applyAlignment="1">
      <alignment horizontal="left" vertical="top"/>
    </xf>
    <xf numFmtId="2" fontId="26" fillId="0" borderId="10" xfId="0" applyNumberFormat="1" applyFont="1" applyBorder="1" applyAlignment="1">
      <alignment vertical="top" wrapText="1"/>
    </xf>
    <xf numFmtId="44" fontId="25" fillId="0" borderId="10" xfId="0" applyNumberFormat="1" applyFont="1" applyBorder="1" applyAlignment="1">
      <alignment vertical="top"/>
    </xf>
    <xf numFmtId="1" fontId="42" fillId="0" borderId="10" xfId="0" applyNumberFormat="1" applyFont="1" applyBorder="1" applyAlignment="1">
      <alignment horizontal="right" vertical="top"/>
    </xf>
    <xf numFmtId="1" fontId="57" fillId="0" borderId="10" xfId="0" applyNumberFormat="1" applyFont="1" applyBorder="1" applyAlignment="1">
      <alignment horizontal="center" vertical="top" wrapText="1"/>
    </xf>
    <xf numFmtId="1" fontId="36" fillId="0" borderId="10" xfId="0" applyNumberFormat="1" applyFont="1" applyBorder="1" applyAlignment="1">
      <alignment horizontal="center" vertical="top" wrapText="1"/>
    </xf>
    <xf numFmtId="0" fontId="36" fillId="0" borderId="10" xfId="0" applyFont="1" applyBorder="1" applyAlignment="1">
      <alignment horizontal="center" vertical="top" wrapText="1"/>
    </xf>
    <xf numFmtId="166" fontId="25" fillId="0" borderId="24" xfId="0" applyNumberFormat="1" applyFont="1" applyBorder="1" applyAlignment="1">
      <alignment horizontal="center" vertical="top"/>
    </xf>
    <xf numFmtId="0" fontId="26" fillId="0" borderId="10" xfId="0" applyFont="1" applyBorder="1" applyAlignment="1">
      <alignment horizontal="center" vertical="top" wrapText="1"/>
    </xf>
    <xf numFmtId="174" fontId="57" fillId="0" borderId="10" xfId="45" applyNumberFormat="1" applyFont="1" applyBorder="1" applyAlignment="1">
      <alignment horizontal="center" vertical="top" wrapText="1"/>
    </xf>
    <xf numFmtId="9" fontId="25" fillId="0" borderId="10" xfId="45" applyNumberFormat="1" applyFont="1" applyBorder="1" applyAlignment="1">
      <alignment horizontal="center" vertical="top"/>
    </xf>
    <xf numFmtId="176" fontId="25" fillId="0" borderId="10" xfId="45" applyNumberFormat="1" applyFont="1" applyBorder="1" applyAlignment="1">
      <alignment horizontal="center" vertical="top"/>
    </xf>
    <xf numFmtId="174" fontId="26" fillId="0" borderId="10" xfId="45" applyNumberFormat="1" applyFont="1" applyBorder="1" applyAlignment="1">
      <alignment horizontal="center" vertical="top" wrapText="1"/>
    </xf>
    <xf numFmtId="174" fontId="25" fillId="0" borderId="10" xfId="45" applyNumberFormat="1" applyFont="1" applyBorder="1" applyAlignment="1">
      <alignment horizontal="center" vertical="top" wrapText="1"/>
    </xf>
    <xf numFmtId="172" fontId="25" fillId="0" borderId="10" xfId="45" applyNumberFormat="1" applyFont="1" applyBorder="1" applyAlignment="1">
      <alignment horizontal="center" vertical="top"/>
    </xf>
    <xf numFmtId="1" fontId="25" fillId="0" borderId="10" xfId="45" applyNumberFormat="1" applyFont="1" applyBorder="1" applyAlignment="1">
      <alignment horizontal="right" vertical="top"/>
    </xf>
    <xf numFmtId="2" fontId="26" fillId="0" borderId="10" xfId="45" applyNumberFormat="1" applyFont="1" applyBorder="1" applyAlignment="1">
      <alignment horizontal="right" vertical="top" wrapText="1"/>
    </xf>
    <xf numFmtId="0" fontId="27" fillId="28" borderId="26" xfId="45" applyFont="1" applyFill="1" applyBorder="1" applyAlignment="1">
      <alignment horizontal="center" vertical="top" wrapText="1"/>
    </xf>
    <xf numFmtId="0" fontId="27" fillId="28" borderId="11" xfId="45" applyFont="1" applyFill="1" applyBorder="1" applyAlignment="1">
      <alignment horizontal="center" vertical="top" wrapText="1"/>
    </xf>
    <xf numFmtId="165" fontId="27" fillId="28" borderId="27" xfId="45" applyNumberFormat="1" applyFont="1" applyFill="1" applyBorder="1" applyAlignment="1">
      <alignment horizontal="center" vertical="top" wrapText="1"/>
    </xf>
    <xf numFmtId="1" fontId="27" fillId="28" borderId="12" xfId="45" applyNumberFormat="1" applyFont="1" applyFill="1" applyBorder="1" applyAlignment="1">
      <alignment horizontal="left" vertical="top"/>
    </xf>
    <xf numFmtId="1" fontId="27" fillId="28" borderId="0" xfId="45" applyNumberFormat="1" applyFont="1" applyFill="1" applyAlignment="1">
      <alignment horizontal="left" vertical="top"/>
    </xf>
    <xf numFmtId="0" fontId="29" fillId="28" borderId="0" xfId="45" applyFont="1" applyFill="1" applyAlignment="1">
      <alignment horizontal="left" vertical="top" wrapText="1"/>
    </xf>
    <xf numFmtId="1" fontId="29" fillId="28" borderId="0" xfId="45" applyNumberFormat="1" applyFont="1" applyFill="1" applyAlignment="1">
      <alignment horizontal="center" vertical="top"/>
    </xf>
    <xf numFmtId="41" fontId="29" fillId="28" borderId="0" xfId="45" applyNumberFormat="1" applyFont="1" applyFill="1" applyAlignment="1">
      <alignment horizontal="right" vertical="top"/>
    </xf>
    <xf numFmtId="0" fontId="29" fillId="28" borderId="0" xfId="45" applyFont="1" applyFill="1" applyAlignment="1">
      <alignment horizontal="center" vertical="top"/>
    </xf>
    <xf numFmtId="44" fontId="29" fillId="28" borderId="0" xfId="55" applyFont="1" applyFill="1" applyBorder="1" applyAlignment="1">
      <alignment horizontal="center" vertical="top"/>
    </xf>
    <xf numFmtId="166" fontId="27" fillId="28" borderId="0" xfId="45" applyNumberFormat="1" applyFont="1" applyFill="1" applyAlignment="1">
      <alignment horizontal="left" vertical="top"/>
    </xf>
    <xf numFmtId="166" fontId="27" fillId="28" borderId="19" xfId="45" applyNumberFormat="1" applyFont="1" applyFill="1" applyBorder="1" applyAlignment="1">
      <alignment horizontal="left" vertical="top"/>
    </xf>
    <xf numFmtId="0" fontId="26" fillId="0" borderId="10" xfId="45" applyFont="1" applyBorder="1" applyAlignment="1">
      <alignment vertical="top"/>
    </xf>
    <xf numFmtId="0" fontId="26" fillId="0" borderId="10" xfId="45" applyFont="1" applyBorder="1" applyAlignment="1">
      <alignment horizontal="center" vertical="center"/>
    </xf>
    <xf numFmtId="0" fontId="26" fillId="0" borderId="10" xfId="45" applyFont="1" applyBorder="1" applyAlignment="1">
      <alignment horizontal="left" vertical="top"/>
    </xf>
    <xf numFmtId="0" fontId="25" fillId="0" borderId="10" xfId="45" applyFont="1" applyBorder="1" applyAlignment="1">
      <alignment vertical="top"/>
    </xf>
    <xf numFmtId="167" fontId="26" fillId="0" borderId="10" xfId="45" applyNumberFormat="1" applyFont="1" applyBorder="1" applyAlignment="1">
      <alignment horizontal="center" vertical="top"/>
    </xf>
    <xf numFmtId="0" fontId="57" fillId="0" borderId="10" xfId="45" applyFont="1" applyBorder="1" applyAlignment="1">
      <alignment horizontal="center" vertical="top" wrapText="1"/>
    </xf>
    <xf numFmtId="2" fontId="25" fillId="0" borderId="10" xfId="45" applyNumberFormat="1" applyFont="1" applyBorder="1" applyAlignment="1">
      <alignment horizontal="center" vertical="top"/>
    </xf>
    <xf numFmtId="0" fontId="55" fillId="0" borderId="10" xfId="45" applyFont="1" applyBorder="1" applyAlignment="1">
      <alignment vertical="top" wrapText="1"/>
    </xf>
    <xf numFmtId="0" fontId="25" fillId="0" borderId="28" xfId="45" applyFont="1" applyBorder="1" applyAlignment="1">
      <alignment horizontal="center" vertical="top"/>
    </xf>
    <xf numFmtId="166" fontId="25" fillId="0" borderId="24" xfId="45" applyNumberFormat="1" applyFont="1" applyBorder="1" applyAlignment="1">
      <alignment horizontal="center" vertical="top"/>
    </xf>
    <xf numFmtId="0" fontId="25" fillId="0" borderId="24" xfId="45" applyFont="1" applyBorder="1" applyAlignment="1">
      <alignment vertical="top"/>
    </xf>
    <xf numFmtId="0" fontId="25" fillId="0" borderId="36" xfId="45" applyFont="1" applyBorder="1" applyAlignment="1">
      <alignment horizontal="center" vertical="top"/>
    </xf>
    <xf numFmtId="1" fontId="26" fillId="0" borderId="31" xfId="45" applyNumberFormat="1" applyFont="1" applyBorder="1" applyAlignment="1">
      <alignment horizontal="left" vertical="top"/>
    </xf>
    <xf numFmtId="0" fontId="25" fillId="0" borderId="31" xfId="45" applyFont="1" applyBorder="1" applyAlignment="1">
      <alignment horizontal="left" vertical="top" wrapText="1"/>
    </xf>
    <xf numFmtId="1" fontId="25" fillId="0" borderId="31" xfId="45" applyNumberFormat="1" applyFont="1" applyBorder="1" applyAlignment="1">
      <alignment horizontal="center" vertical="top"/>
    </xf>
    <xf numFmtId="41" fontId="25" fillId="0" borderId="31" xfId="45" applyNumberFormat="1" applyFont="1" applyBorder="1" applyAlignment="1">
      <alignment horizontal="right" vertical="top"/>
    </xf>
    <xf numFmtId="0" fontId="25" fillId="0" borderId="31" xfId="45" applyFont="1" applyBorder="1" applyAlignment="1">
      <alignment horizontal="center" vertical="top"/>
    </xf>
    <xf numFmtId="44" fontId="25" fillId="0" borderId="31" xfId="55" applyFont="1" applyFill="1" applyBorder="1" applyAlignment="1">
      <alignment horizontal="center" vertical="top"/>
    </xf>
    <xf numFmtId="165" fontId="25" fillId="0" borderId="31" xfId="45" applyNumberFormat="1" applyFont="1" applyBorder="1" applyAlignment="1">
      <alignment vertical="top"/>
    </xf>
    <xf numFmtId="2" fontId="50" fillId="28" borderId="16" xfId="45" applyNumberFormat="1" applyFont="1" applyFill="1" applyBorder="1" applyAlignment="1">
      <alignment horizontal="left" vertical="top"/>
    </xf>
    <xf numFmtId="2" fontId="50" fillId="28" borderId="15" xfId="59" applyNumberFormat="1" applyFont="1" applyFill="1" applyBorder="1" applyAlignment="1">
      <alignment horizontal="left" vertical="top"/>
    </xf>
    <xf numFmtId="2" fontId="50" fillId="28" borderId="15" xfId="45" applyNumberFormat="1" applyFont="1" applyFill="1" applyBorder="1" applyAlignment="1">
      <alignment horizontal="left" vertical="top"/>
    </xf>
    <xf numFmtId="2" fontId="53" fillId="28" borderId="15" xfId="45" applyNumberFormat="1" applyFont="1" applyFill="1" applyBorder="1" applyAlignment="1">
      <alignment horizontal="center" vertical="top"/>
    </xf>
    <xf numFmtId="165" fontId="53" fillId="28" borderId="15" xfId="45" applyNumberFormat="1" applyFont="1" applyFill="1" applyBorder="1" applyAlignment="1">
      <alignment horizontal="center" vertical="top"/>
    </xf>
    <xf numFmtId="165" fontId="50" fillId="28" borderId="23" xfId="45" applyNumberFormat="1" applyFont="1" applyFill="1" applyBorder="1" applyAlignment="1">
      <alignment horizontal="right" vertical="top"/>
    </xf>
    <xf numFmtId="2" fontId="43" fillId="24" borderId="30" xfId="45" applyNumberFormat="1" applyFont="1" applyFill="1" applyBorder="1" applyAlignment="1">
      <alignment horizontal="left" vertical="top"/>
    </xf>
    <xf numFmtId="2" fontId="44" fillId="24" borderId="11" xfId="59" applyNumberFormat="1" applyFont="1" applyFill="1" applyBorder="1" applyAlignment="1">
      <alignment horizontal="left" vertical="top"/>
    </xf>
    <xf numFmtId="2" fontId="44" fillId="24" borderId="11" xfId="45" applyNumberFormat="1" applyFont="1" applyFill="1" applyBorder="1" applyAlignment="1">
      <alignment horizontal="left" vertical="top"/>
    </xf>
    <xf numFmtId="2" fontId="45" fillId="24" borderId="11" xfId="45" applyNumberFormat="1" applyFont="1" applyFill="1" applyBorder="1" applyAlignment="1">
      <alignment horizontal="center" vertical="top"/>
    </xf>
    <xf numFmtId="2" fontId="46" fillId="24" borderId="11" xfId="45" applyNumberFormat="1" applyFont="1" applyFill="1" applyBorder="1" applyAlignment="1">
      <alignment vertical="top"/>
    </xf>
    <xf numFmtId="165" fontId="46" fillId="24" borderId="11" xfId="45" applyNumberFormat="1" applyFont="1" applyFill="1" applyBorder="1" applyAlignment="1">
      <alignment vertical="top"/>
    </xf>
    <xf numFmtId="165" fontId="46" fillId="24" borderId="27" xfId="45" applyNumberFormat="1" applyFont="1" applyFill="1" applyBorder="1" applyAlignment="1">
      <alignment vertical="top"/>
    </xf>
    <xf numFmtId="2" fontId="44" fillId="24" borderId="0" xfId="45" applyNumberFormat="1" applyFont="1" applyFill="1" applyAlignment="1">
      <alignment horizontal="left" vertical="top"/>
    </xf>
    <xf numFmtId="2" fontId="44" fillId="24" borderId="0" xfId="45" applyNumberFormat="1" applyFont="1" applyFill="1" applyAlignment="1">
      <alignment vertical="top"/>
    </xf>
    <xf numFmtId="2" fontId="47" fillId="24" borderId="0" xfId="45" applyNumberFormat="1" applyFont="1" applyFill="1" applyAlignment="1">
      <alignment horizontal="left" vertical="top"/>
    </xf>
    <xf numFmtId="0" fontId="44" fillId="24" borderId="18" xfId="45" applyFont="1" applyFill="1" applyBorder="1" applyAlignment="1">
      <alignment horizontal="left" vertical="top"/>
    </xf>
    <xf numFmtId="166" fontId="44" fillId="24" borderId="14" xfId="55" applyNumberFormat="1" applyFont="1" applyFill="1" applyBorder="1" applyAlignment="1" applyProtection="1">
      <alignment horizontal="left" vertical="top"/>
    </xf>
    <xf numFmtId="2" fontId="44" fillId="24" borderId="14" xfId="45" applyNumberFormat="1" applyFont="1" applyFill="1" applyBorder="1" applyAlignment="1">
      <alignment horizontal="left" vertical="top"/>
    </xf>
    <xf numFmtId="2" fontId="44" fillId="24" borderId="14" xfId="45" applyNumberFormat="1" applyFont="1" applyFill="1" applyBorder="1" applyAlignment="1">
      <alignment vertical="top"/>
    </xf>
    <xf numFmtId="0" fontId="45" fillId="24" borderId="14" xfId="45" applyFont="1" applyFill="1" applyBorder="1" applyAlignment="1">
      <alignment horizontal="center" vertical="top"/>
    </xf>
    <xf numFmtId="2" fontId="27" fillId="28" borderId="11" xfId="45" applyNumberFormat="1" applyFont="1" applyFill="1" applyBorder="1" applyAlignment="1">
      <alignment horizontal="center" vertical="top" wrapText="1"/>
    </xf>
    <xf numFmtId="165" fontId="27" fillId="28" borderId="11" xfId="45" applyNumberFormat="1" applyFont="1" applyFill="1" applyBorder="1" applyAlignment="1">
      <alignment horizontal="center" vertical="top" wrapText="1"/>
    </xf>
    <xf numFmtId="0" fontId="43" fillId="27" borderId="12" xfId="45" applyFont="1" applyFill="1" applyBorder="1" applyAlignment="1">
      <alignment horizontal="left" vertical="top"/>
    </xf>
    <xf numFmtId="2" fontId="45" fillId="27" borderId="0" xfId="45" applyNumberFormat="1" applyFont="1" applyFill="1" applyAlignment="1">
      <alignment horizontal="left" vertical="top" wrapText="1"/>
    </xf>
    <xf numFmtId="41" fontId="45" fillId="27" borderId="0" xfId="45" applyNumberFormat="1" applyFont="1" applyFill="1" applyAlignment="1">
      <alignment horizontal="center" vertical="top"/>
    </xf>
    <xf numFmtId="0" fontId="45" fillId="27" borderId="0" xfId="45" applyFont="1" applyFill="1" applyAlignment="1">
      <alignment horizontal="center" vertical="top"/>
    </xf>
    <xf numFmtId="168" fontId="45" fillId="27" borderId="0" xfId="45" applyNumberFormat="1" applyFont="1" applyFill="1" applyAlignment="1">
      <alignment horizontal="center" vertical="top"/>
    </xf>
    <xf numFmtId="10" fontId="44" fillId="27" borderId="18" xfId="57" applyNumberFormat="1" applyFont="1" applyFill="1" applyBorder="1" applyAlignment="1">
      <alignment horizontal="center" vertical="top"/>
    </xf>
    <xf numFmtId="2" fontId="45" fillId="0" borderId="10" xfId="45" applyNumberFormat="1" applyFont="1" applyBorder="1" applyAlignment="1">
      <alignment horizontal="left" vertical="top" wrapText="1"/>
    </xf>
    <xf numFmtId="41" fontId="45" fillId="0" borderId="10" xfId="45" applyNumberFormat="1" applyFont="1" applyBorder="1" applyAlignment="1">
      <alignment horizontal="center" vertical="top"/>
    </xf>
    <xf numFmtId="0" fontId="45" fillId="0" borderId="10" xfId="45" applyFont="1" applyBorder="1" applyAlignment="1">
      <alignment horizontal="center" vertical="top"/>
    </xf>
    <xf numFmtId="168" fontId="45" fillId="0" borderId="10" xfId="45" applyNumberFormat="1" applyFont="1" applyBorder="1" applyAlignment="1">
      <alignment horizontal="center" vertical="top"/>
    </xf>
    <xf numFmtId="167" fontId="45" fillId="0" borderId="10" xfId="45" applyNumberFormat="1" applyFont="1" applyBorder="1" applyAlignment="1">
      <alignment horizontal="center" vertical="top"/>
    </xf>
    <xf numFmtId="2" fontId="48" fillId="0" borderId="10" xfId="60" applyNumberFormat="1" applyFont="1" applyBorder="1" applyAlignment="1">
      <alignment horizontal="left" vertical="top" wrapText="1"/>
    </xf>
    <xf numFmtId="0" fontId="45" fillId="0" borderId="10" xfId="60" applyFont="1" applyBorder="1" applyAlignment="1">
      <alignment horizontal="center" vertical="top"/>
    </xf>
    <xf numFmtId="166" fontId="45" fillId="0" borderId="10" xfId="45" applyNumberFormat="1" applyFont="1" applyBorder="1" applyAlignment="1">
      <alignment horizontal="center" vertical="top"/>
    </xf>
    <xf numFmtId="2" fontId="45" fillId="0" borderId="10" xfId="60" applyNumberFormat="1" applyFont="1" applyBorder="1" applyAlignment="1">
      <alignment horizontal="left" vertical="top" wrapText="1"/>
    </xf>
    <xf numFmtId="2" fontId="48" fillId="0" borderId="10" xfId="45" applyNumberFormat="1" applyFont="1" applyBorder="1" applyAlignment="1">
      <alignment horizontal="left" vertical="top" wrapText="1"/>
    </xf>
    <xf numFmtId="2" fontId="49" fillId="0" borderId="10" xfId="45" applyNumberFormat="1" applyFont="1" applyBorder="1" applyAlignment="1">
      <alignment horizontal="left" vertical="top" wrapText="1"/>
    </xf>
    <xf numFmtId="168" fontId="44" fillId="0" borderId="10" xfId="45" applyNumberFormat="1" applyFont="1" applyBorder="1" applyAlignment="1">
      <alignment horizontal="center" vertical="center"/>
    </xf>
    <xf numFmtId="167" fontId="45" fillId="0" borderId="10" xfId="45" applyNumberFormat="1" applyFont="1" applyBorder="1" applyAlignment="1">
      <alignment vertical="top"/>
    </xf>
    <xf numFmtId="2" fontId="45" fillId="0" borderId="28" xfId="45" applyNumberFormat="1" applyFont="1" applyBorder="1" applyAlignment="1">
      <alignment horizontal="left" vertical="top" wrapText="1"/>
    </xf>
    <xf numFmtId="41" fontId="45" fillId="0" borderId="28" xfId="45" applyNumberFormat="1" applyFont="1" applyBorder="1" applyAlignment="1">
      <alignment horizontal="center" vertical="top"/>
    </xf>
    <xf numFmtId="0" fontId="45" fillId="0" borderId="28" xfId="45" applyFont="1" applyBorder="1" applyAlignment="1">
      <alignment horizontal="center" vertical="top"/>
    </xf>
    <xf numFmtId="168" fontId="45" fillId="0" borderId="28" xfId="45" applyNumberFormat="1" applyFont="1" applyBorder="1" applyAlignment="1">
      <alignment horizontal="center" vertical="top"/>
    </xf>
    <xf numFmtId="167" fontId="45" fillId="0" borderId="28" xfId="45" applyNumberFormat="1" applyFont="1" applyBorder="1" applyAlignment="1">
      <alignment horizontal="center" vertical="top"/>
    </xf>
    <xf numFmtId="0" fontId="25" fillId="0" borderId="35" xfId="45" applyFont="1" applyBorder="1" applyAlignment="1">
      <alignment vertical="top"/>
    </xf>
    <xf numFmtId="0" fontId="25" fillId="0" borderId="24" xfId="60" applyFont="1" applyBorder="1" applyAlignment="1">
      <alignment vertical="top"/>
    </xf>
    <xf numFmtId="14" fontId="45" fillId="24" borderId="0" xfId="45" applyNumberFormat="1" applyFont="1" applyFill="1" applyAlignment="1">
      <alignment horizontal="left" vertical="top"/>
    </xf>
    <xf numFmtId="165" fontId="46" fillId="24" borderId="0" xfId="45" applyNumberFormat="1" applyFont="1" applyFill="1" applyAlignment="1">
      <alignment vertical="top"/>
    </xf>
    <xf numFmtId="165" fontId="45" fillId="24" borderId="0" xfId="45" applyNumberFormat="1" applyFont="1" applyFill="1" applyAlignment="1">
      <alignment horizontal="center" vertical="top"/>
    </xf>
    <xf numFmtId="165" fontId="45" fillId="24" borderId="14" xfId="45" applyNumberFormat="1" applyFont="1" applyFill="1" applyBorder="1" applyAlignment="1">
      <alignment horizontal="center" vertical="top"/>
    </xf>
    <xf numFmtId="167" fontId="52" fillId="28" borderId="15" xfId="45" applyNumberFormat="1" applyFont="1" applyFill="1" applyBorder="1" applyAlignment="1">
      <alignment horizontal="center" vertical="top"/>
    </xf>
    <xf numFmtId="167" fontId="44" fillId="27" borderId="0" xfId="45" applyNumberFormat="1" applyFont="1" applyFill="1" applyAlignment="1">
      <alignment vertical="top"/>
    </xf>
    <xf numFmtId="0" fontId="25" fillId="0" borderId="40" xfId="45" applyFont="1" applyBorder="1" applyAlignment="1">
      <alignment vertical="top"/>
    </xf>
    <xf numFmtId="0" fontId="25" fillId="0" borderId="41" xfId="45" applyFont="1" applyBorder="1" applyAlignment="1">
      <alignment vertical="top"/>
    </xf>
    <xf numFmtId="2" fontId="45" fillId="0" borderId="31" xfId="45" applyNumberFormat="1" applyFont="1" applyBorder="1" applyAlignment="1">
      <alignment horizontal="left" vertical="top" wrapText="1"/>
    </xf>
    <xf numFmtId="41" fontId="45" fillId="0" borderId="31" xfId="45" applyNumberFormat="1" applyFont="1" applyBorder="1" applyAlignment="1">
      <alignment horizontal="center" vertical="top"/>
    </xf>
    <xf numFmtId="0" fontId="45" fillId="0" borderId="31" xfId="45" applyFont="1" applyBorder="1" applyAlignment="1">
      <alignment horizontal="center" vertical="top"/>
    </xf>
    <xf numFmtId="168" fontId="45" fillId="0" borderId="31" xfId="45" applyNumberFormat="1" applyFont="1" applyBorder="1" applyAlignment="1">
      <alignment horizontal="center" vertical="top"/>
    </xf>
    <xf numFmtId="167" fontId="45" fillId="0" borderId="31" xfId="45" applyNumberFormat="1" applyFont="1" applyBorder="1" applyAlignment="1">
      <alignment vertical="top"/>
    </xf>
    <xf numFmtId="167" fontId="45" fillId="0" borderId="31" xfId="45" applyNumberFormat="1" applyFont="1" applyBorder="1" applyAlignment="1">
      <alignment horizontal="center" vertical="top"/>
    </xf>
    <xf numFmtId="0" fontId="25" fillId="0" borderId="32" xfId="45" applyFont="1" applyBorder="1" applyAlignment="1">
      <alignment vertical="top"/>
    </xf>
    <xf numFmtId="2" fontId="55" fillId="0" borderId="10" xfId="45" applyNumberFormat="1" applyFont="1" applyBorder="1" applyAlignment="1">
      <alignment horizontal="left" vertical="top" wrapText="1"/>
    </xf>
    <xf numFmtId="0" fontId="57" fillId="0" borderId="10" xfId="45" applyFont="1" applyBorder="1" applyAlignment="1">
      <alignment horizontal="center" vertical="top"/>
    </xf>
    <xf numFmtId="2" fontId="36" fillId="0" borderId="10" xfId="45" applyNumberFormat="1" applyFont="1" applyBorder="1" applyAlignment="1">
      <alignment horizontal="left" vertical="top" wrapText="1"/>
    </xf>
    <xf numFmtId="177" fontId="25" fillId="0" borderId="10" xfId="45" applyNumberFormat="1" applyFont="1" applyBorder="1" applyAlignment="1">
      <alignment horizontal="center" vertical="top"/>
    </xf>
    <xf numFmtId="2" fontId="34" fillId="0" borderId="10" xfId="45" applyNumberFormat="1" applyFont="1" applyBorder="1" applyAlignment="1">
      <alignment horizontal="left" vertical="top" wrapText="1"/>
    </xf>
    <xf numFmtId="2" fontId="25" fillId="0" borderId="10" xfId="45" quotePrefix="1" applyNumberFormat="1" applyFont="1" applyBorder="1" applyAlignment="1">
      <alignment horizontal="left" vertical="top" wrapText="1"/>
    </xf>
    <xf numFmtId="2" fontId="58" fillId="0" borderId="10" xfId="45" applyNumberFormat="1" applyFont="1" applyBorder="1" applyAlignment="1">
      <alignment horizontal="left" vertical="top" wrapText="1"/>
    </xf>
    <xf numFmtId="166" fontId="25" fillId="0" borderId="10" xfId="55" applyNumberFormat="1" applyFont="1" applyFill="1" applyBorder="1" applyAlignment="1" applyProtection="1">
      <alignment horizontal="center" vertical="top"/>
    </xf>
    <xf numFmtId="171" fontId="25" fillId="0" borderId="10" xfId="45" applyNumberFormat="1" applyFont="1" applyBorder="1" applyAlignment="1">
      <alignment horizontal="left" vertical="top" wrapText="1"/>
    </xf>
    <xf numFmtId="0" fontId="26" fillId="0" borderId="10" xfId="45" applyFont="1" applyBorder="1" applyAlignment="1">
      <alignment vertical="top" wrapText="1"/>
    </xf>
    <xf numFmtId="0" fontId="35" fillId="0" borderId="10" xfId="45" applyFont="1" applyBorder="1" applyAlignment="1">
      <alignment vertical="top" wrapText="1"/>
    </xf>
    <xf numFmtId="1" fontId="26" fillId="0" borderId="10" xfId="45" applyNumberFormat="1" applyFont="1" applyBorder="1" applyAlignment="1">
      <alignment horizontal="right" vertical="top"/>
    </xf>
    <xf numFmtId="0" fontId="36" fillId="0" borderId="10" xfId="45" applyFont="1" applyBorder="1" applyAlignment="1">
      <alignment vertical="top" wrapText="1"/>
    </xf>
    <xf numFmtId="2" fontId="25" fillId="0" borderId="10" xfId="45" applyNumberFormat="1" applyFont="1" applyBorder="1" applyAlignment="1">
      <alignment horizontal="right" vertical="top"/>
    </xf>
    <xf numFmtId="0" fontId="35" fillId="0" borderId="10" xfId="45" applyFont="1" applyBorder="1" applyAlignment="1">
      <alignment horizontal="center" vertical="top" wrapText="1"/>
    </xf>
    <xf numFmtId="0" fontId="26" fillId="0" borderId="10" xfId="45" applyFont="1" applyBorder="1" applyAlignment="1">
      <alignment horizontal="center" vertical="top" wrapText="1"/>
    </xf>
    <xf numFmtId="1" fontId="26" fillId="0" borderId="12" xfId="45" applyNumberFormat="1" applyFont="1" applyBorder="1" applyAlignment="1">
      <alignment horizontal="left" vertical="top"/>
    </xf>
    <xf numFmtId="1" fontId="26" fillId="0" borderId="0" xfId="45" applyNumberFormat="1" applyFont="1" applyAlignment="1">
      <alignment horizontal="left" vertical="top"/>
    </xf>
    <xf numFmtId="0" fontId="25" fillId="0" borderId="0" xfId="45" applyFont="1" applyAlignment="1">
      <alignment horizontal="left" vertical="top" wrapText="1"/>
    </xf>
    <xf numFmtId="1" fontId="25" fillId="0" borderId="0" xfId="45" applyNumberFormat="1" applyFont="1" applyAlignment="1">
      <alignment horizontal="center" vertical="top"/>
    </xf>
    <xf numFmtId="41" fontId="25" fillId="0" borderId="0" xfId="45" applyNumberFormat="1" applyFont="1" applyAlignment="1">
      <alignment horizontal="right" vertical="top"/>
    </xf>
    <xf numFmtId="44" fontId="25" fillId="0" borderId="0" xfId="55" applyFont="1" applyFill="1" applyBorder="1" applyAlignment="1">
      <alignment horizontal="center" vertical="top"/>
    </xf>
    <xf numFmtId="166" fontId="26" fillId="0" borderId="0" xfId="45" applyNumberFormat="1" applyFont="1" applyAlignment="1">
      <alignment horizontal="left" vertical="top"/>
    </xf>
    <xf numFmtId="166" fontId="26" fillId="0" borderId="19" xfId="45" applyNumberFormat="1" applyFont="1" applyBorder="1" applyAlignment="1">
      <alignment horizontal="left" vertical="top"/>
    </xf>
    <xf numFmtId="1" fontId="26" fillId="0" borderId="13" xfId="45" applyNumberFormat="1" applyFont="1" applyBorder="1" applyAlignment="1">
      <alignment horizontal="left" vertical="top"/>
    </xf>
    <xf numFmtId="1" fontId="25" fillId="0" borderId="14" xfId="45" applyNumberFormat="1" applyFont="1" applyBorder="1" applyAlignment="1">
      <alignment horizontal="center" vertical="top"/>
    </xf>
    <xf numFmtId="2" fontId="60" fillId="0" borderId="14" xfId="54" applyNumberFormat="1" applyFont="1" applyFill="1" applyBorder="1" applyAlignment="1">
      <alignment horizontal="left" vertical="top"/>
    </xf>
    <xf numFmtId="44" fontId="25" fillId="0" borderId="14" xfId="55" applyFont="1" applyFill="1" applyBorder="1" applyAlignment="1">
      <alignment horizontal="center" vertical="top"/>
    </xf>
    <xf numFmtId="166" fontId="26" fillId="0" borderId="14" xfId="45" applyNumberFormat="1" applyFont="1" applyBorder="1" applyAlignment="1">
      <alignment horizontal="left" vertical="top"/>
    </xf>
    <xf numFmtId="166" fontId="26" fillId="0" borderId="20" xfId="45" applyNumberFormat="1" applyFont="1" applyBorder="1" applyAlignment="1">
      <alignment horizontal="left" vertical="top"/>
    </xf>
    <xf numFmtId="0" fontId="35" fillId="0" borderId="37" xfId="0" applyFont="1" applyBorder="1" applyAlignment="1">
      <alignment horizontal="left" vertical="top"/>
    </xf>
    <xf numFmtId="0" fontId="35" fillId="0" borderId="38" xfId="0" applyFont="1" applyBorder="1" applyAlignment="1">
      <alignment horizontal="left" vertical="top"/>
    </xf>
    <xf numFmtId="0" fontId="35" fillId="0" borderId="33" xfId="0" applyFont="1" applyBorder="1" applyAlignment="1">
      <alignment horizontal="left" vertical="top"/>
    </xf>
    <xf numFmtId="0" fontId="35" fillId="0" borderId="39" xfId="0" applyFont="1" applyBorder="1" applyAlignment="1">
      <alignment horizontal="left" vertical="top"/>
    </xf>
    <xf numFmtId="0" fontId="35" fillId="0" borderId="34" xfId="0" applyFont="1" applyBorder="1" applyAlignment="1">
      <alignment horizontal="left" vertical="top"/>
    </xf>
    <xf numFmtId="0" fontId="35" fillId="0" borderId="29" xfId="0" applyFont="1" applyBorder="1" applyAlignment="1">
      <alignment horizontal="left" vertical="top"/>
    </xf>
    <xf numFmtId="0" fontId="45" fillId="27" borderId="10" xfId="45" applyFont="1" applyFill="1" applyBorder="1" applyAlignment="1">
      <alignment horizontal="center" vertical="top"/>
    </xf>
    <xf numFmtId="168" fontId="45" fillId="27" borderId="10" xfId="45" applyNumberFormat="1" applyFont="1" applyFill="1" applyBorder="1" applyAlignment="1">
      <alignment horizontal="center" vertical="top"/>
    </xf>
    <xf numFmtId="10" fontId="44" fillId="27" borderId="10" xfId="57" applyNumberFormat="1" applyFont="1" applyFill="1" applyBorder="1" applyAlignment="1">
      <alignment horizontal="center" vertical="top"/>
    </xf>
    <xf numFmtId="167" fontId="44" fillId="27" borderId="10" xfId="45" applyNumberFormat="1" applyFont="1" applyFill="1" applyBorder="1" applyAlignment="1">
      <alignment vertical="top"/>
    </xf>
    <xf numFmtId="0" fontId="52" fillId="28" borderId="10" xfId="45" applyFont="1" applyFill="1" applyBorder="1" applyAlignment="1">
      <alignment horizontal="center" vertical="top"/>
    </xf>
    <xf numFmtId="168" fontId="52" fillId="28" borderId="10" xfId="45" applyNumberFormat="1" applyFont="1" applyFill="1" applyBorder="1" applyAlignment="1">
      <alignment horizontal="center" vertical="top"/>
    </xf>
    <xf numFmtId="167" fontId="52" fillId="28" borderId="10" xfId="45" applyNumberFormat="1" applyFont="1" applyFill="1" applyBorder="1" applyAlignment="1">
      <alignment horizontal="center" vertical="top"/>
    </xf>
    <xf numFmtId="2" fontId="45" fillId="27" borderId="10" xfId="45" applyNumberFormat="1" applyFont="1" applyFill="1" applyBorder="1" applyAlignment="1">
      <alignment horizontal="left" vertical="top" wrapText="1"/>
    </xf>
    <xf numFmtId="41" fontId="45" fillId="27" borderId="10" xfId="45" applyNumberFormat="1" applyFont="1" applyFill="1" applyBorder="1" applyAlignment="1">
      <alignment horizontal="center" vertical="top"/>
    </xf>
    <xf numFmtId="2" fontId="48" fillId="0" borderId="28" xfId="60" applyNumberFormat="1" applyFont="1" applyBorder="1" applyAlignment="1">
      <alignment horizontal="left" vertical="top" wrapText="1"/>
    </xf>
    <xf numFmtId="0" fontId="45" fillId="0" borderId="28" xfId="60" applyFont="1" applyBorder="1" applyAlignment="1">
      <alignment horizontal="center" vertical="top"/>
    </xf>
    <xf numFmtId="0" fontId="25" fillId="0" borderId="35" xfId="60" applyFont="1" applyBorder="1" applyAlignment="1">
      <alignment vertical="top"/>
    </xf>
    <xf numFmtId="0" fontId="43" fillId="27" borderId="21" xfId="45" applyFont="1" applyFill="1" applyBorder="1" applyAlignment="1">
      <alignment horizontal="left" vertical="top"/>
    </xf>
    <xf numFmtId="0" fontId="50" fillId="28" borderId="36" xfId="45" applyFont="1" applyFill="1" applyBorder="1" applyAlignment="1">
      <alignment horizontal="left" vertical="top"/>
    </xf>
    <xf numFmtId="41" fontId="52" fillId="28" borderId="31" xfId="45" applyNumberFormat="1" applyFont="1" applyFill="1" applyBorder="1" applyAlignment="1">
      <alignment horizontal="center" vertical="top"/>
    </xf>
    <xf numFmtId="0" fontId="25" fillId="27" borderId="21" xfId="45" applyFont="1" applyFill="1" applyBorder="1" applyAlignment="1">
      <alignment horizontal="center" vertical="top"/>
    </xf>
    <xf numFmtId="0" fontId="25" fillId="27" borderId="10" xfId="45" applyFont="1" applyFill="1" applyBorder="1" applyAlignment="1">
      <alignment vertical="top"/>
    </xf>
    <xf numFmtId="0" fontId="25" fillId="27" borderId="24" xfId="45" applyFont="1" applyFill="1" applyBorder="1" applyAlignment="1">
      <alignment vertical="top"/>
    </xf>
    <xf numFmtId="0" fontId="25" fillId="28" borderId="21" xfId="45" applyFont="1" applyFill="1" applyBorder="1" applyAlignment="1">
      <alignment horizontal="center" vertical="top"/>
    </xf>
    <xf numFmtId="0" fontId="25" fillId="28" borderId="10" xfId="45" applyFont="1" applyFill="1" applyBorder="1" applyAlignment="1">
      <alignment vertical="top"/>
    </xf>
    <xf numFmtId="2" fontId="45" fillId="28" borderId="10" xfId="45" applyNumberFormat="1" applyFont="1" applyFill="1" applyBorder="1" applyAlignment="1">
      <alignment horizontal="left" vertical="top" wrapText="1"/>
    </xf>
    <xf numFmtId="41" fontId="45" fillId="28" borderId="10" xfId="45" applyNumberFormat="1" applyFont="1" applyFill="1" applyBorder="1" applyAlignment="1">
      <alignment horizontal="center" vertical="top"/>
    </xf>
    <xf numFmtId="0" fontId="25" fillId="28" borderId="24" xfId="45" applyFont="1" applyFill="1" applyBorder="1" applyAlignment="1">
      <alignment vertical="top"/>
    </xf>
    <xf numFmtId="0" fontId="25" fillId="28" borderId="31" xfId="45" applyFont="1" applyFill="1" applyBorder="1" applyAlignment="1">
      <alignment vertical="top"/>
    </xf>
    <xf numFmtId="0" fontId="25" fillId="28" borderId="32" xfId="45" applyFont="1" applyFill="1" applyBorder="1" applyAlignment="1">
      <alignment vertical="top"/>
    </xf>
  </cellXfs>
  <cellStyles count="6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2" xfId="46" xr:uid="{00000000-0005-0000-0000-00001B000000}"/>
    <cellStyle name="Comma 2 2" xfId="48" xr:uid="{00000000-0005-0000-0000-00001C000000}"/>
    <cellStyle name="Currency" xfId="56" builtinId="4"/>
    <cellStyle name="Currency 10" xfId="61" xr:uid="{00000000-0005-0000-0000-00001E000000}"/>
    <cellStyle name="Currency 2" xfId="50" xr:uid="{00000000-0005-0000-0000-00001F000000}"/>
    <cellStyle name="Currency 3" xfId="55" xr:uid="{00000000-0005-0000-0000-000020000000}"/>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54" builtinId="8"/>
    <cellStyle name="Hyperlink 2" xfId="62" xr:uid="{00000000-0005-0000-0000-000028000000}"/>
    <cellStyle name="Input" xfId="34" builtinId="20" customBuiltin="1"/>
    <cellStyle name="Linked Cell" xfId="35" builtinId="24" customBuiltin="1"/>
    <cellStyle name="Neutral" xfId="36" builtinId="28" customBuiltin="1"/>
    <cellStyle name="Normal" xfId="0" builtinId="0"/>
    <cellStyle name="Normal 2" xfId="44" xr:uid="{00000000-0005-0000-0000-00002D000000}"/>
    <cellStyle name="Normal 2 2" xfId="47" xr:uid="{00000000-0005-0000-0000-00002E000000}"/>
    <cellStyle name="Normal 2 3" xfId="45" xr:uid="{00000000-0005-0000-0000-00002F000000}"/>
    <cellStyle name="Normal 2 3 2" xfId="52" xr:uid="{00000000-0005-0000-0000-000030000000}"/>
    <cellStyle name="Normal 3" xfId="37" xr:uid="{00000000-0005-0000-0000-000031000000}"/>
    <cellStyle name="Normal 4" xfId="43" xr:uid="{00000000-0005-0000-0000-000032000000}"/>
    <cellStyle name="Normal 4 2" xfId="53" xr:uid="{00000000-0005-0000-0000-000033000000}"/>
    <cellStyle name="Normal 4 3" xfId="51" xr:uid="{00000000-0005-0000-0000-000034000000}"/>
    <cellStyle name="Normal 4 4" xfId="59" xr:uid="{00000000-0005-0000-0000-000035000000}"/>
    <cellStyle name="Normal 5" xfId="49" xr:uid="{00000000-0005-0000-0000-000036000000}"/>
    <cellStyle name="Normal 6" xfId="60" xr:uid="{00000000-0005-0000-0000-000037000000}"/>
    <cellStyle name="Note" xfId="38" builtinId="10" customBuiltin="1"/>
    <cellStyle name="Output" xfId="39" builtinId="21" customBuiltin="1"/>
    <cellStyle name="Percent" xfId="57" builtinId="5"/>
    <cellStyle name="Percent 2" xfId="58" xr:uid="{00000000-0005-0000-0000-00003B000000}"/>
    <cellStyle name="Title" xfId="40" builtinId="15" customBuiltin="1"/>
    <cellStyle name="Total" xfId="41" builtinId="25" customBuiltin="1"/>
    <cellStyle name="Warning Text" xfId="42" builtinId="11" customBuiltin="1"/>
  </cellStyles>
  <dxfs count="0"/>
  <tableStyles count="0" defaultTableStyle="TableStyleMedium9" defaultPivotStyle="PivotStyleLight16"/>
  <colors>
    <mruColors>
      <color rgb="FFF55D61"/>
      <color rgb="FFFED2DC"/>
      <color rgb="FFD5D5D5"/>
      <color rgb="FFB94517"/>
      <color rgb="FFFE9494"/>
      <color rgb="FFF3F3F3"/>
      <color rgb="FFF50101"/>
      <color rgb="FFCE2008"/>
      <color rgb="FFFF512C"/>
      <color rgb="FFDE796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661148</xdr:colOff>
      <xdr:row>1381</xdr:row>
      <xdr:rowOff>481853</xdr:rowOff>
    </xdr:from>
    <xdr:to>
      <xdr:col>4</xdr:col>
      <xdr:colOff>3350559</xdr:colOff>
      <xdr:row>1381</xdr:row>
      <xdr:rowOff>4005662</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4090148" y="310526206"/>
          <a:ext cx="2689411" cy="3523809"/>
        </a:xfrm>
        <a:prstGeom prst="rect">
          <a:avLst/>
        </a:prstGeom>
      </xdr:spPr>
    </xdr:pic>
    <xdr:clientData/>
  </xdr:twoCellAnchor>
  <xdr:twoCellAnchor editAs="oneCell">
    <xdr:from>
      <xdr:col>4</xdr:col>
      <xdr:colOff>75671</xdr:colOff>
      <xdr:row>1382</xdr:row>
      <xdr:rowOff>656881</xdr:rowOff>
    </xdr:from>
    <xdr:to>
      <xdr:col>4</xdr:col>
      <xdr:colOff>3873203</xdr:colOff>
      <xdr:row>1382</xdr:row>
      <xdr:rowOff>2700619</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tretch>
          <a:fillRect/>
        </a:stretch>
      </xdr:blipFill>
      <xdr:spPr>
        <a:xfrm>
          <a:off x="3504671" y="314903440"/>
          <a:ext cx="3797532" cy="2043738"/>
        </a:xfrm>
        <a:prstGeom prst="rect">
          <a:avLst/>
        </a:prstGeom>
      </xdr:spPr>
    </xdr:pic>
    <xdr:clientData/>
  </xdr:twoCellAnchor>
  <xdr:twoCellAnchor editAs="oneCell">
    <xdr:from>
      <xdr:col>9</xdr:col>
      <xdr:colOff>549089</xdr:colOff>
      <xdr:row>1</xdr:row>
      <xdr:rowOff>44825</xdr:rowOff>
    </xdr:from>
    <xdr:to>
      <xdr:col>11</xdr:col>
      <xdr:colOff>734530</xdr:colOff>
      <xdr:row>4</xdr:row>
      <xdr:rowOff>118506</xdr:rowOff>
    </xdr:to>
    <xdr:pic>
      <xdr:nvPicPr>
        <xdr:cNvPr id="4" name="Picture 3">
          <a:extLst>
            <a:ext uri="{FF2B5EF4-FFF2-40B4-BE49-F238E27FC236}">
              <a16:creationId xmlns:a16="http://schemas.microsoft.com/office/drawing/2014/main" id="{8B55EE08-0ACA-4433-A1F2-1D1D742E9C4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483789" y="254375"/>
          <a:ext cx="2026022" cy="6686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1489683</xdr:colOff>
      <xdr:row>1</xdr:row>
      <xdr:rowOff>151981</xdr:rowOff>
    </xdr:from>
    <xdr:to>
      <xdr:col>9</xdr:col>
      <xdr:colOff>3518087</xdr:colOff>
      <xdr:row>4</xdr:row>
      <xdr:rowOff>25298</xdr:rowOff>
    </xdr:to>
    <xdr:pic>
      <xdr:nvPicPr>
        <xdr:cNvPr id="2" name="Picture 1">
          <a:extLst>
            <a:ext uri="{FF2B5EF4-FFF2-40B4-BE49-F238E27FC236}">
              <a16:creationId xmlns:a16="http://schemas.microsoft.com/office/drawing/2014/main" id="{6EB7A310-D0C0-4C66-8D99-214774E9A6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884214" y="390106"/>
          <a:ext cx="2028404" cy="65913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C000"/>
    <pageSetUpPr fitToPage="1"/>
  </sheetPr>
  <dimension ref="A1:L2778"/>
  <sheetViews>
    <sheetView showGridLines="0" tabSelected="1" view="pageBreakPreview" topLeftCell="A2751" zoomScale="83" zoomScaleNormal="90" zoomScaleSheetLayoutView="83" workbookViewId="0">
      <selection activeCell="E2771" sqref="E2771"/>
    </sheetView>
  </sheetViews>
  <sheetFormatPr defaultColWidth="9.6640625" defaultRowHeight="15.75" x14ac:dyDescent="0.2"/>
  <cols>
    <col min="1" max="1" width="5.33203125" style="2" customWidth="1"/>
    <col min="2" max="2" width="12.33203125" style="10" customWidth="1"/>
    <col min="3" max="3" width="14.88671875" style="3" bestFit="1" customWidth="1"/>
    <col min="4" max="4" width="7.44140625" style="3" customWidth="1"/>
    <col min="5" max="5" width="47.21875" style="7" customWidth="1"/>
    <col min="6" max="6" width="9.109375" style="9" customWidth="1"/>
    <col min="7" max="7" width="8.109375" style="4" customWidth="1"/>
    <col min="8" max="8" width="7.88671875" style="4" customWidth="1"/>
    <col min="9" max="9" width="7.109375" style="3" customWidth="1"/>
    <col min="10" max="10" width="10.109375" style="12" customWidth="1"/>
    <col min="11" max="11" width="11.44140625" style="5" customWidth="1"/>
    <col min="12" max="12" width="14.44140625" style="8" bestFit="1" customWidth="1"/>
    <col min="13" max="16384" width="9.6640625" style="1"/>
  </cols>
  <sheetData>
    <row r="1" spans="1:12" s="59" customFormat="1" ht="16.5" thickBot="1" x14ac:dyDescent="0.25">
      <c r="A1" s="51" t="s">
        <v>7</v>
      </c>
      <c r="B1" s="52"/>
      <c r="C1" s="53"/>
      <c r="D1" s="54"/>
      <c r="E1" s="55"/>
      <c r="F1" s="56"/>
      <c r="G1" s="56"/>
      <c r="H1" s="56"/>
      <c r="I1" s="56"/>
      <c r="J1" s="57"/>
      <c r="K1" s="56"/>
      <c r="L1" s="58" t="s">
        <v>13</v>
      </c>
    </row>
    <row r="2" spans="1:12" x14ac:dyDescent="0.2">
      <c r="A2" s="81" t="s">
        <v>8</v>
      </c>
      <c r="B2" s="82"/>
      <c r="C2" s="83"/>
      <c r="D2" s="84"/>
      <c r="E2" s="85"/>
      <c r="F2" s="86"/>
      <c r="G2" s="87"/>
      <c r="H2" s="86"/>
      <c r="I2" s="86"/>
      <c r="J2" s="20"/>
      <c r="K2" s="19"/>
      <c r="L2" s="36"/>
    </row>
    <row r="3" spans="1:12" x14ac:dyDescent="0.2">
      <c r="A3" s="14" t="s">
        <v>9</v>
      </c>
      <c r="B3" s="13"/>
      <c r="C3" s="15">
        <v>44977</v>
      </c>
      <c r="D3" s="88"/>
      <c r="E3" s="89"/>
      <c r="F3" s="90" t="s">
        <v>1215</v>
      </c>
      <c r="G3" s="90"/>
      <c r="H3" s="35"/>
      <c r="I3" s="35"/>
      <c r="J3" s="35"/>
      <c r="K3" s="35"/>
      <c r="L3" s="91"/>
    </row>
    <row r="4" spans="1:12" x14ac:dyDescent="0.2">
      <c r="A4" s="14" t="s">
        <v>10</v>
      </c>
      <c r="B4" s="13"/>
      <c r="C4" s="15">
        <v>44866</v>
      </c>
      <c r="D4" s="88"/>
      <c r="E4" s="89"/>
      <c r="F4" s="90" t="s">
        <v>1216</v>
      </c>
      <c r="G4" s="90" t="s">
        <v>1217</v>
      </c>
      <c r="H4" s="35"/>
      <c r="I4" s="35"/>
      <c r="J4" s="35"/>
      <c r="K4" s="92"/>
      <c r="L4" s="93"/>
    </row>
    <row r="5" spans="1:12" ht="16.5" thickBot="1" x14ac:dyDescent="0.25">
      <c r="A5" s="94" t="s">
        <v>3</v>
      </c>
      <c r="B5" s="95"/>
      <c r="C5" s="96" t="e">
        <f>#REF!</f>
        <v>#REF!</v>
      </c>
      <c r="D5" s="97"/>
      <c r="E5" s="98"/>
      <c r="F5" s="79"/>
      <c r="G5" s="79"/>
      <c r="H5" s="80"/>
      <c r="I5" s="80"/>
      <c r="J5" s="80"/>
      <c r="K5" s="22"/>
      <c r="L5" s="99"/>
    </row>
    <row r="6" spans="1:12" s="60" customFormat="1" ht="43.5" customHeight="1" thickBot="1" x14ac:dyDescent="0.25">
      <c r="A6" s="100" t="s">
        <v>11</v>
      </c>
      <c r="B6" s="101" t="s">
        <v>16</v>
      </c>
      <c r="C6" s="101" t="s">
        <v>17</v>
      </c>
      <c r="D6" s="101" t="s">
        <v>19</v>
      </c>
      <c r="E6" s="101" t="s">
        <v>1</v>
      </c>
      <c r="F6" s="101" t="s">
        <v>1214</v>
      </c>
      <c r="G6" s="101" t="s">
        <v>4</v>
      </c>
      <c r="H6" s="101" t="s">
        <v>5</v>
      </c>
      <c r="I6" s="101" t="s">
        <v>0</v>
      </c>
      <c r="J6" s="101" t="s">
        <v>2</v>
      </c>
      <c r="K6" s="102" t="s">
        <v>6</v>
      </c>
      <c r="L6" s="103" t="s">
        <v>12</v>
      </c>
    </row>
    <row r="7" spans="1:12" s="16" customFormat="1" x14ac:dyDescent="0.2">
      <c r="A7" s="130" t="str">
        <f>IF(F7&lt;&gt;"",1+MAX(#REF!),"")</f>
        <v/>
      </c>
      <c r="B7" s="131"/>
      <c r="C7" s="132"/>
      <c r="D7" s="133" t="s">
        <v>31</v>
      </c>
      <c r="E7" s="134" t="s">
        <v>32</v>
      </c>
      <c r="F7" s="135"/>
      <c r="G7" s="136"/>
      <c r="H7" s="136"/>
      <c r="I7" s="136"/>
      <c r="J7" s="137"/>
      <c r="K7" s="136"/>
      <c r="L7" s="138"/>
    </row>
    <row r="8" spans="1:12" s="17" customFormat="1" ht="141.75" x14ac:dyDescent="0.2">
      <c r="A8" s="129">
        <f>IF(F8&lt;&gt;"",1+MAX($A$7:A7),"")</f>
        <v>1</v>
      </c>
      <c r="B8" s="120"/>
      <c r="C8" s="120"/>
      <c r="D8" s="121"/>
      <c r="E8" s="122" t="s">
        <v>33</v>
      </c>
      <c r="F8" s="123">
        <v>1</v>
      </c>
      <c r="G8" s="124">
        <v>0</v>
      </c>
      <c r="H8" s="125">
        <f t="shared" ref="H8:H9" si="0">F8*(1+G8)</f>
        <v>1</v>
      </c>
      <c r="I8" s="126" t="s">
        <v>27</v>
      </c>
      <c r="J8" s="139">
        <v>0</v>
      </c>
      <c r="K8" s="104">
        <f>J8*H8</f>
        <v>0</v>
      </c>
      <c r="L8" s="128"/>
    </row>
    <row r="9" spans="1:12" s="17" customFormat="1" ht="18.75" x14ac:dyDescent="0.2">
      <c r="A9" s="129">
        <f>IF(F9&lt;&gt;"",1+MAX($A$7:A8),"")</f>
        <v>2</v>
      </c>
      <c r="B9" s="120" t="s">
        <v>166</v>
      </c>
      <c r="C9" s="120"/>
      <c r="D9" s="121"/>
      <c r="E9" s="122" t="s">
        <v>78</v>
      </c>
      <c r="F9" s="123">
        <f>1122.6+87980</f>
        <v>89102.6</v>
      </c>
      <c r="G9" s="124">
        <v>0.1</v>
      </c>
      <c r="H9" s="125">
        <f t="shared" si="0"/>
        <v>98012.860000000015</v>
      </c>
      <c r="I9" s="126" t="s">
        <v>18</v>
      </c>
      <c r="J9" s="127">
        <v>0</v>
      </c>
      <c r="K9" s="104">
        <f t="shared" ref="K9" si="1">J9*H9</f>
        <v>0</v>
      </c>
      <c r="L9" s="128"/>
    </row>
    <row r="10" spans="1:12" x14ac:dyDescent="0.2">
      <c r="A10" s="129" t="str">
        <f>IF(F10&lt;&gt;"",1+MAX($A$7:A9),"")</f>
        <v/>
      </c>
      <c r="B10" s="140"/>
      <c r="C10" s="140"/>
      <c r="D10" s="141"/>
      <c r="E10" s="142"/>
      <c r="F10" s="143"/>
      <c r="G10" s="144"/>
      <c r="H10" s="143"/>
      <c r="I10" s="145"/>
      <c r="J10" s="146"/>
      <c r="K10" s="147"/>
      <c r="L10" s="148"/>
    </row>
    <row r="11" spans="1:12" x14ac:dyDescent="0.2">
      <c r="A11" s="129" t="str">
        <f>IF(F11&lt;&gt;"",1+MAX($A$7:A10),"")</f>
        <v/>
      </c>
      <c r="B11" s="140"/>
      <c r="C11" s="140"/>
      <c r="D11" s="141"/>
      <c r="E11" s="142" t="s">
        <v>34</v>
      </c>
      <c r="F11" s="149"/>
      <c r="G11" s="144"/>
      <c r="H11" s="143"/>
      <c r="I11" s="145"/>
      <c r="J11" s="146"/>
      <c r="K11" s="105"/>
      <c r="L11" s="11">
        <f>SUM(K8:K10)</f>
        <v>0</v>
      </c>
    </row>
    <row r="12" spans="1:12" s="18" customFormat="1" ht="18.75" x14ac:dyDescent="0.2">
      <c r="A12" s="129" t="str">
        <f>IF(F12&lt;&gt;"",1+MAX($A$7:A11),"")</f>
        <v/>
      </c>
      <c r="B12" s="120"/>
      <c r="C12" s="120"/>
      <c r="D12" s="121"/>
      <c r="E12" s="122"/>
      <c r="F12" s="123"/>
      <c r="G12" s="124"/>
      <c r="H12" s="125"/>
      <c r="I12" s="126"/>
      <c r="J12" s="127"/>
      <c r="K12" s="104"/>
      <c r="L12" s="128"/>
    </row>
    <row r="13" spans="1:12" s="6" customFormat="1" x14ac:dyDescent="0.2">
      <c r="A13" s="129" t="str">
        <f>IF(F13&lt;&gt;"",1+MAX($A$7:A12),"")</f>
        <v/>
      </c>
      <c r="B13" s="150"/>
      <c r="C13" s="151"/>
      <c r="D13" s="151" t="s">
        <v>71</v>
      </c>
      <c r="E13" s="152" t="s">
        <v>72</v>
      </c>
      <c r="F13" s="149"/>
      <c r="G13" s="153"/>
      <c r="H13" s="153"/>
      <c r="I13" s="153"/>
      <c r="J13" s="154"/>
      <c r="K13" s="153"/>
      <c r="L13" s="155"/>
    </row>
    <row r="14" spans="1:12" x14ac:dyDescent="0.2">
      <c r="A14" s="129" t="str">
        <f>IF(F14&lt;&gt;"",1+MAX($A$7:A13),"")</f>
        <v/>
      </c>
      <c r="B14" s="140"/>
      <c r="C14" s="140"/>
      <c r="D14" s="140"/>
      <c r="E14" s="156" t="s">
        <v>79</v>
      </c>
      <c r="F14" s="149"/>
      <c r="G14" s="144"/>
      <c r="H14" s="143"/>
      <c r="I14" s="145"/>
      <c r="J14" s="23"/>
      <c r="K14" s="157"/>
      <c r="L14" s="155"/>
    </row>
    <row r="15" spans="1:12" s="21" customFormat="1" x14ac:dyDescent="0.2">
      <c r="A15" s="129" t="str">
        <f>IF(F15&lt;&gt;"",1+MAX($A$7:A14),"")</f>
        <v/>
      </c>
      <c r="B15" s="140"/>
      <c r="C15" s="140"/>
      <c r="D15" s="141"/>
      <c r="E15" s="158" t="s">
        <v>80</v>
      </c>
      <c r="F15" s="149"/>
      <c r="G15" s="144"/>
      <c r="H15" s="143"/>
      <c r="I15" s="145"/>
      <c r="J15" s="37"/>
      <c r="K15" s="159"/>
      <c r="L15" s="160"/>
    </row>
    <row r="16" spans="1:12" s="17" customFormat="1" ht="18.75" x14ac:dyDescent="0.2">
      <c r="A16" s="129">
        <f>IF(F16&lt;&gt;"",1+MAX($A$7:A15),"")</f>
        <v>3</v>
      </c>
      <c r="B16" s="120" t="s">
        <v>365</v>
      </c>
      <c r="C16" s="120"/>
      <c r="D16" s="121"/>
      <c r="E16" s="122" t="s">
        <v>291</v>
      </c>
      <c r="F16" s="123">
        <f>8.15*81</f>
        <v>660.15</v>
      </c>
      <c r="G16" s="124">
        <v>0.1</v>
      </c>
      <c r="H16" s="125">
        <f t="shared" ref="H16" si="2">F16*(1+G16)</f>
        <v>726.16500000000008</v>
      </c>
      <c r="I16" s="126" t="s">
        <v>292</v>
      </c>
      <c r="J16" s="127">
        <v>0</v>
      </c>
      <c r="K16" s="104">
        <f t="shared" ref="K16" si="3">J16*H16</f>
        <v>0</v>
      </c>
      <c r="L16" s="128"/>
    </row>
    <row r="17" spans="1:12" s="21" customFormat="1" x14ac:dyDescent="0.2">
      <c r="A17" s="129" t="str">
        <f>IF(F17&lt;&gt;"",1+MAX($A$7:A16),"")</f>
        <v/>
      </c>
      <c r="B17" s="140"/>
      <c r="C17" s="140"/>
      <c r="D17" s="141"/>
      <c r="E17" s="158" t="s">
        <v>293</v>
      </c>
      <c r="F17" s="149"/>
      <c r="G17" s="144"/>
      <c r="H17" s="143"/>
      <c r="I17" s="145"/>
      <c r="J17" s="37"/>
      <c r="K17" s="159"/>
      <c r="L17" s="160"/>
    </row>
    <row r="18" spans="1:12" s="17" customFormat="1" ht="18.75" x14ac:dyDescent="0.2">
      <c r="A18" s="129">
        <f>IF(F18&lt;&gt;"",1+MAX($A$7:A17),"")</f>
        <v>4</v>
      </c>
      <c r="B18" s="120" t="s">
        <v>365</v>
      </c>
      <c r="C18" s="120"/>
      <c r="D18" s="121"/>
      <c r="E18" s="122" t="s">
        <v>294</v>
      </c>
      <c r="F18" s="123">
        <f>9.8*15</f>
        <v>147</v>
      </c>
      <c r="G18" s="124">
        <v>0.1</v>
      </c>
      <c r="H18" s="125">
        <f t="shared" ref="H18" si="4">F18*(1+G18)</f>
        <v>161.70000000000002</v>
      </c>
      <c r="I18" s="126" t="s">
        <v>292</v>
      </c>
      <c r="J18" s="37">
        <f>J$16</f>
        <v>0</v>
      </c>
      <c r="K18" s="104">
        <f t="shared" ref="K18" si="5">J18*H18</f>
        <v>0</v>
      </c>
      <c r="L18" s="128"/>
    </row>
    <row r="19" spans="1:12" s="17" customFormat="1" ht="18.75" x14ac:dyDescent="0.2">
      <c r="A19" s="129" t="str">
        <f>IF(F19&lt;&gt;"",1+MAX($A$7:A18),"")</f>
        <v/>
      </c>
      <c r="B19" s="120"/>
      <c r="C19" s="120"/>
      <c r="D19" s="121"/>
      <c r="E19" s="158" t="s">
        <v>81</v>
      </c>
      <c r="F19" s="123"/>
      <c r="G19" s="123"/>
      <c r="H19" s="123"/>
      <c r="I19" s="123"/>
      <c r="J19" s="123"/>
      <c r="K19" s="104"/>
      <c r="L19" s="128"/>
    </row>
    <row r="20" spans="1:12" s="17" customFormat="1" ht="18.75" x14ac:dyDescent="0.2">
      <c r="A20" s="129">
        <f>IF(F20&lt;&gt;"",1+MAX($A$7:A19),"")</f>
        <v>5</v>
      </c>
      <c r="B20" s="120" t="s">
        <v>365</v>
      </c>
      <c r="C20" s="120"/>
      <c r="D20" s="121"/>
      <c r="E20" s="122" t="s">
        <v>82</v>
      </c>
      <c r="F20" s="123">
        <v>9</v>
      </c>
      <c r="G20" s="124">
        <v>0.1</v>
      </c>
      <c r="H20" s="125">
        <f t="shared" ref="H20" si="6">F20*(1+G20)</f>
        <v>9.9</v>
      </c>
      <c r="I20" s="126" t="s">
        <v>20</v>
      </c>
      <c r="J20" s="127">
        <v>0</v>
      </c>
      <c r="K20" s="104">
        <f t="shared" ref="K20" si="7">J20*H20</f>
        <v>0</v>
      </c>
      <c r="L20" s="128"/>
    </row>
    <row r="21" spans="1:12" s="17" customFormat="1" ht="18.75" x14ac:dyDescent="0.2">
      <c r="A21" s="129">
        <f>IF(F21&lt;&gt;"",1+MAX($A$7:A20),"")</f>
        <v>6</v>
      </c>
      <c r="B21" s="120" t="s">
        <v>365</v>
      </c>
      <c r="C21" s="120"/>
      <c r="D21" s="121"/>
      <c r="E21" s="122" t="s">
        <v>83</v>
      </c>
      <c r="F21" s="123">
        <v>9</v>
      </c>
      <c r="G21" s="124">
        <v>0.1</v>
      </c>
      <c r="H21" s="125">
        <f t="shared" ref="H21" si="8">F21*(1+G21)</f>
        <v>9.9</v>
      </c>
      <c r="I21" s="126" t="s">
        <v>20</v>
      </c>
      <c r="J21" s="127">
        <v>0</v>
      </c>
      <c r="K21" s="104">
        <f t="shared" ref="K21" si="9">J21*H21</f>
        <v>0</v>
      </c>
      <c r="L21" s="128"/>
    </row>
    <row r="22" spans="1:12" x14ac:dyDescent="0.2">
      <c r="A22" s="129" t="str">
        <f>IF(F22&lt;&gt;"",1+MAX($A$7:A21),"")</f>
        <v/>
      </c>
      <c r="B22" s="140"/>
      <c r="C22" s="140"/>
      <c r="D22" s="141"/>
      <c r="E22" s="153"/>
      <c r="F22" s="143"/>
      <c r="G22" s="144"/>
      <c r="H22" s="143"/>
      <c r="I22" s="145"/>
      <c r="J22" s="161"/>
      <c r="K22" s="147"/>
      <c r="L22" s="148"/>
    </row>
    <row r="23" spans="1:12" x14ac:dyDescent="0.2">
      <c r="A23" s="129" t="str">
        <f>IF(F23&lt;&gt;"",1+MAX($A$7:A22),"")</f>
        <v/>
      </c>
      <c r="B23" s="140"/>
      <c r="C23" s="140"/>
      <c r="D23" s="141"/>
      <c r="E23" s="142" t="s">
        <v>733</v>
      </c>
      <c r="F23" s="149"/>
      <c r="G23" s="144"/>
      <c r="H23" s="143"/>
      <c r="I23" s="145"/>
      <c r="J23" s="161"/>
      <c r="K23" s="105"/>
      <c r="L23" s="11">
        <f>SUM(K14:K22)</f>
        <v>0</v>
      </c>
    </row>
    <row r="24" spans="1:12" s="18" customFormat="1" ht="18.75" x14ac:dyDescent="0.2">
      <c r="A24" s="129" t="str">
        <f>IF(F24&lt;&gt;"",1+MAX($A$7:A23),"")</f>
        <v/>
      </c>
      <c r="B24" s="120"/>
      <c r="C24" s="120"/>
      <c r="D24" s="121"/>
      <c r="E24" s="122"/>
      <c r="F24" s="123"/>
      <c r="G24" s="124"/>
      <c r="H24" s="125"/>
      <c r="I24" s="126"/>
      <c r="J24" s="127"/>
      <c r="K24" s="104"/>
      <c r="L24" s="128"/>
    </row>
    <row r="25" spans="1:12" x14ac:dyDescent="0.2">
      <c r="A25" s="129" t="str">
        <f>IF(F25&lt;&gt;"",1+MAX($A$7:A24),"")</f>
        <v/>
      </c>
      <c r="B25" s="140"/>
      <c r="C25" s="140"/>
      <c r="D25" s="140"/>
      <c r="E25" s="156" t="s">
        <v>353</v>
      </c>
      <c r="F25" s="149"/>
      <c r="G25" s="144"/>
      <c r="H25" s="143"/>
      <c r="I25" s="145"/>
      <c r="J25" s="23"/>
      <c r="K25" s="157"/>
      <c r="L25" s="155"/>
    </row>
    <row r="26" spans="1:12" s="17" customFormat="1" ht="78.75" x14ac:dyDescent="0.2">
      <c r="A26" s="129">
        <f>IF(F26&lt;&gt;"",1+MAX($A$7:A25),"")</f>
        <v>7</v>
      </c>
      <c r="B26" s="120" t="s">
        <v>355</v>
      </c>
      <c r="C26" s="120" t="s">
        <v>368</v>
      </c>
      <c r="D26" s="121"/>
      <c r="E26" s="122" t="s">
        <v>367</v>
      </c>
      <c r="F26" s="123">
        <v>1</v>
      </c>
      <c r="G26" s="124">
        <v>0</v>
      </c>
      <c r="H26" s="125">
        <f t="shared" ref="H26" si="10">F26*(1+G26)</f>
        <v>1</v>
      </c>
      <c r="I26" s="126" t="s">
        <v>354</v>
      </c>
      <c r="J26" s="127">
        <v>0</v>
      </c>
      <c r="K26" s="104">
        <f t="shared" ref="K26" si="11">J26*H26</f>
        <v>0</v>
      </c>
      <c r="L26" s="128"/>
    </row>
    <row r="27" spans="1:12" x14ac:dyDescent="0.2">
      <c r="A27" s="129" t="str">
        <f>IF(F27&lt;&gt;"",1+MAX($A$7:A26),"")</f>
        <v/>
      </c>
      <c r="B27" s="140"/>
      <c r="C27" s="140"/>
      <c r="D27" s="141"/>
      <c r="E27" s="153"/>
      <c r="F27" s="143"/>
      <c r="G27" s="144"/>
      <c r="H27" s="143"/>
      <c r="I27" s="145"/>
      <c r="J27" s="161"/>
      <c r="K27" s="147"/>
      <c r="L27" s="148"/>
    </row>
    <row r="28" spans="1:12" x14ac:dyDescent="0.2">
      <c r="A28" s="129" t="str">
        <f>IF(F28&lt;&gt;"",1+MAX($A$7:A27),"")</f>
        <v/>
      </c>
      <c r="B28" s="140"/>
      <c r="C28" s="140"/>
      <c r="D28" s="141"/>
      <c r="E28" s="142" t="s">
        <v>451</v>
      </c>
      <c r="F28" s="149"/>
      <c r="G28" s="144"/>
      <c r="H28" s="143"/>
      <c r="I28" s="145"/>
      <c r="J28" s="161"/>
      <c r="K28" s="105"/>
      <c r="L28" s="11">
        <f>SUM(K25:K27)</f>
        <v>0</v>
      </c>
    </row>
    <row r="29" spans="1:12" s="18" customFormat="1" ht="18.75" x14ac:dyDescent="0.2">
      <c r="A29" s="129" t="str">
        <f>IF(F29&lt;&gt;"",1+MAX($A$7:A28),"")</f>
        <v/>
      </c>
      <c r="B29" s="120"/>
      <c r="C29" s="120"/>
      <c r="D29" s="121"/>
      <c r="E29" s="122"/>
      <c r="F29" s="123"/>
      <c r="G29" s="124"/>
      <c r="H29" s="125"/>
      <c r="I29" s="126"/>
      <c r="J29" s="127"/>
      <c r="K29" s="104"/>
      <c r="L29" s="128"/>
    </row>
    <row r="30" spans="1:12" x14ac:dyDescent="0.2">
      <c r="A30" s="129" t="str">
        <f>IF(F30&lt;&gt;"",1+MAX($A$7:A29),"")</f>
        <v/>
      </c>
      <c r="B30" s="140"/>
      <c r="C30" s="140"/>
      <c r="D30" s="140"/>
      <c r="E30" s="156" t="s">
        <v>73</v>
      </c>
      <c r="F30" s="149"/>
      <c r="G30" s="144"/>
      <c r="H30" s="143"/>
      <c r="I30" s="145"/>
      <c r="J30" s="23"/>
      <c r="K30" s="157"/>
      <c r="L30" s="155"/>
    </row>
    <row r="31" spans="1:12" s="17" customFormat="1" ht="94.5" x14ac:dyDescent="0.2">
      <c r="A31" s="129">
        <f>IF(F31&lt;&gt;"",1+MAX($A$7:A30),"")</f>
        <v>8</v>
      </c>
      <c r="B31" s="120" t="s">
        <v>208</v>
      </c>
      <c r="C31" s="120" t="s">
        <v>369</v>
      </c>
      <c r="D31" s="121"/>
      <c r="E31" s="122" t="s">
        <v>366</v>
      </c>
      <c r="F31" s="123">
        <f>218*1.1</f>
        <v>239.8</v>
      </c>
      <c r="G31" s="124">
        <v>0.1</v>
      </c>
      <c r="H31" s="125">
        <f t="shared" ref="H31" si="12">F31*(1+G31)</f>
        <v>263.78000000000003</v>
      </c>
      <c r="I31" s="126" t="s">
        <v>15</v>
      </c>
      <c r="J31" s="127">
        <v>0</v>
      </c>
      <c r="K31" s="104">
        <f t="shared" ref="K31" si="13">J31*H31</f>
        <v>0</v>
      </c>
      <c r="L31" s="128"/>
    </row>
    <row r="32" spans="1:12" s="17" customFormat="1" ht="94.5" x14ac:dyDescent="0.2">
      <c r="A32" s="129">
        <f>IF(F32&lt;&gt;"",1+MAX($A$7:A31),"")</f>
        <v>9</v>
      </c>
      <c r="B32" s="120" t="s">
        <v>208</v>
      </c>
      <c r="C32" s="120" t="s">
        <v>369</v>
      </c>
      <c r="D32" s="121"/>
      <c r="E32" s="122" t="s">
        <v>370</v>
      </c>
      <c r="F32" s="123">
        <f>181.6*1.1</f>
        <v>199.76000000000002</v>
      </c>
      <c r="G32" s="124">
        <v>0.1</v>
      </c>
      <c r="H32" s="125">
        <f t="shared" ref="H32" si="14">F32*(1+G32)</f>
        <v>219.73600000000005</v>
      </c>
      <c r="I32" s="126" t="s">
        <v>15</v>
      </c>
      <c r="J32" s="127">
        <v>0</v>
      </c>
      <c r="K32" s="104">
        <f t="shared" ref="K32" si="15">J32*H32</f>
        <v>0</v>
      </c>
      <c r="L32" s="128"/>
    </row>
    <row r="33" spans="1:12" s="17" customFormat="1" ht="18.75" x14ac:dyDescent="0.2">
      <c r="A33" s="129" t="str">
        <f>IF(F33&lt;&gt;"",1+MAX($A$7:A32),"")</f>
        <v/>
      </c>
      <c r="B33" s="120"/>
      <c r="C33" s="120"/>
      <c r="D33" s="121"/>
      <c r="E33" s="122"/>
      <c r="F33" s="123"/>
      <c r="G33" s="124"/>
      <c r="H33" s="125"/>
      <c r="I33" s="125"/>
      <c r="J33" s="125"/>
      <c r="K33" s="104"/>
      <c r="L33" s="128"/>
    </row>
    <row r="34" spans="1:12" x14ac:dyDescent="0.2">
      <c r="A34" s="129" t="str">
        <f>IF(F34&lt;&gt;"",1+MAX($A$7:A33),"")</f>
        <v/>
      </c>
      <c r="B34" s="140"/>
      <c r="C34" s="140"/>
      <c r="D34" s="140"/>
      <c r="E34" s="156" t="s">
        <v>371</v>
      </c>
      <c r="F34" s="149"/>
      <c r="G34" s="144"/>
      <c r="H34" s="143"/>
      <c r="I34" s="145"/>
      <c r="J34" s="23"/>
      <c r="K34" s="157"/>
      <c r="L34" s="155"/>
    </row>
    <row r="35" spans="1:12" s="17" customFormat="1" ht="18.75" x14ac:dyDescent="0.2">
      <c r="A35" s="129">
        <f>IF(F35&lt;&gt;"",1+MAX($A$7:A34),"")</f>
        <v>10</v>
      </c>
      <c r="B35" s="120" t="s">
        <v>166</v>
      </c>
      <c r="C35" s="120" t="s">
        <v>373</v>
      </c>
      <c r="D35" s="121"/>
      <c r="E35" s="122" t="s">
        <v>372</v>
      </c>
      <c r="F35" s="123">
        <v>29.3</v>
      </c>
      <c r="G35" s="124">
        <v>0.1</v>
      </c>
      <c r="H35" s="125">
        <f t="shared" ref="H35" si="16">F35*(1+G35)</f>
        <v>32.230000000000004</v>
      </c>
      <c r="I35" s="126" t="s">
        <v>15</v>
      </c>
      <c r="J35" s="127">
        <v>0</v>
      </c>
      <c r="K35" s="104">
        <f t="shared" ref="K35" si="17">J35*H35</f>
        <v>0</v>
      </c>
      <c r="L35" s="128"/>
    </row>
    <row r="36" spans="1:12" x14ac:dyDescent="0.2">
      <c r="A36" s="129" t="str">
        <f>IF(F36&lt;&gt;"",1+MAX($A$7:A35),"")</f>
        <v/>
      </c>
      <c r="B36" s="140"/>
      <c r="C36" s="140"/>
      <c r="D36" s="141"/>
      <c r="E36" s="153"/>
      <c r="F36" s="143"/>
      <c r="G36" s="144"/>
      <c r="H36" s="143"/>
      <c r="I36" s="145"/>
      <c r="J36" s="161"/>
      <c r="K36" s="147"/>
      <c r="L36" s="148"/>
    </row>
    <row r="37" spans="1:12" x14ac:dyDescent="0.2">
      <c r="A37" s="129" t="str">
        <f>IF(F37&lt;&gt;"",1+MAX($A$7:A36),"")</f>
        <v/>
      </c>
      <c r="B37" s="140"/>
      <c r="C37" s="140"/>
      <c r="D37" s="141"/>
      <c r="E37" s="142" t="s">
        <v>452</v>
      </c>
      <c r="F37" s="149"/>
      <c r="G37" s="144"/>
      <c r="H37" s="143"/>
      <c r="I37" s="145"/>
      <c r="J37" s="161"/>
      <c r="K37" s="105"/>
      <c r="L37" s="11">
        <f>SUM(K30:K36)</f>
        <v>0</v>
      </c>
    </row>
    <row r="38" spans="1:12" s="18" customFormat="1" ht="18.75" x14ac:dyDescent="0.2">
      <c r="A38" s="129" t="str">
        <f>IF(F38&lt;&gt;"",1+MAX($A$7:A37),"")</f>
        <v/>
      </c>
      <c r="B38" s="120"/>
      <c r="C38" s="120"/>
      <c r="D38" s="121"/>
      <c r="E38" s="122"/>
      <c r="F38" s="123"/>
      <c r="G38" s="124"/>
      <c r="H38" s="125"/>
      <c r="I38" s="126"/>
      <c r="J38" s="127"/>
      <c r="K38" s="104"/>
      <c r="L38" s="128"/>
    </row>
    <row r="39" spans="1:12" s="6" customFormat="1" x14ac:dyDescent="0.2">
      <c r="A39" s="129" t="str">
        <f>IF(F39&lt;&gt;"",1+MAX($A$7:A38),"")</f>
        <v/>
      </c>
      <c r="B39" s="150"/>
      <c r="C39" s="151"/>
      <c r="D39" s="151" t="s">
        <v>74</v>
      </c>
      <c r="E39" s="152" t="s">
        <v>75</v>
      </c>
      <c r="F39" s="149"/>
      <c r="G39" s="153"/>
      <c r="H39" s="153"/>
      <c r="I39" s="153"/>
      <c r="J39" s="154"/>
      <c r="K39" s="153"/>
      <c r="L39" s="155"/>
    </row>
    <row r="40" spans="1:12" x14ac:dyDescent="0.2">
      <c r="A40" s="129" t="str">
        <f>IF(F40&lt;&gt;"",1+MAX($A$7:A39),"")</f>
        <v/>
      </c>
      <c r="B40" s="140"/>
      <c r="C40" s="140"/>
      <c r="D40" s="140"/>
      <c r="E40" s="156" t="s">
        <v>255</v>
      </c>
      <c r="F40" s="149"/>
      <c r="G40" s="144"/>
      <c r="H40" s="143"/>
      <c r="I40" s="145"/>
      <c r="J40" s="23"/>
      <c r="K40" s="157"/>
      <c r="L40" s="155"/>
    </row>
    <row r="41" spans="1:12" s="17" customFormat="1" ht="18.75" x14ac:dyDescent="0.2">
      <c r="A41" s="129">
        <f>IF(F41&lt;&gt;"",1+MAX($A$7:A40),"")</f>
        <v>11</v>
      </c>
      <c r="B41" s="120" t="s">
        <v>235</v>
      </c>
      <c r="C41" s="120"/>
      <c r="D41" s="121"/>
      <c r="E41" s="122" t="s">
        <v>445</v>
      </c>
      <c r="F41" s="123">
        <v>1</v>
      </c>
      <c r="G41" s="124">
        <v>0</v>
      </c>
      <c r="H41" s="125">
        <f t="shared" ref="H41" si="18">F41*(1+G41)</f>
        <v>1</v>
      </c>
      <c r="I41" s="126" t="s">
        <v>27</v>
      </c>
      <c r="J41" s="127">
        <v>0</v>
      </c>
      <c r="K41" s="104">
        <f t="shared" ref="K41" si="19">J41*H41</f>
        <v>0</v>
      </c>
      <c r="L41" s="128"/>
    </row>
    <row r="42" spans="1:12" x14ac:dyDescent="0.2">
      <c r="A42" s="129" t="str">
        <f>IF(F42&lt;&gt;"",1+MAX($A$7:A41),"")</f>
        <v/>
      </c>
      <c r="B42" s="140"/>
      <c r="C42" s="140"/>
      <c r="D42" s="141"/>
      <c r="E42" s="153"/>
      <c r="F42" s="143"/>
      <c r="G42" s="144"/>
      <c r="H42" s="143"/>
      <c r="I42" s="145"/>
      <c r="J42" s="161"/>
      <c r="K42" s="147"/>
      <c r="L42" s="148"/>
    </row>
    <row r="43" spans="1:12" x14ac:dyDescent="0.2">
      <c r="A43" s="129" t="str">
        <f>IF(F43&lt;&gt;"",1+MAX($A$7:A42),"")</f>
        <v/>
      </c>
      <c r="B43" s="140"/>
      <c r="C43" s="140"/>
      <c r="D43" s="141"/>
      <c r="E43" s="142" t="s">
        <v>447</v>
      </c>
      <c r="F43" s="149"/>
      <c r="G43" s="144"/>
      <c r="H43" s="143"/>
      <c r="I43" s="145"/>
      <c r="J43" s="161"/>
      <c r="K43" s="105"/>
      <c r="L43" s="11">
        <f>SUM(K40:K42)</f>
        <v>0</v>
      </c>
    </row>
    <row r="44" spans="1:12" s="18" customFormat="1" ht="18.75" x14ac:dyDescent="0.2">
      <c r="A44" s="129" t="str">
        <f>IF(F44&lt;&gt;"",1+MAX($A$7:A43),"")</f>
        <v/>
      </c>
      <c r="B44" s="120"/>
      <c r="C44" s="120"/>
      <c r="D44" s="121"/>
      <c r="E44" s="122"/>
      <c r="F44" s="123"/>
      <c r="G44" s="124"/>
      <c r="H44" s="125"/>
      <c r="I44" s="126"/>
      <c r="J44" s="127"/>
      <c r="K44" s="104"/>
      <c r="L44" s="128"/>
    </row>
    <row r="45" spans="1:12" x14ac:dyDescent="0.2">
      <c r="A45" s="129" t="str">
        <f>IF(F45&lt;&gt;"",1+MAX($A$7:A44),"")</f>
        <v/>
      </c>
      <c r="B45" s="140"/>
      <c r="C45" s="140"/>
      <c r="D45" s="140"/>
      <c r="E45" s="156" t="s">
        <v>266</v>
      </c>
      <c r="F45" s="149"/>
      <c r="G45" s="144"/>
      <c r="H45" s="143"/>
      <c r="I45" s="145"/>
      <c r="J45" s="23"/>
      <c r="K45" s="157"/>
      <c r="L45" s="155"/>
    </row>
    <row r="46" spans="1:12" s="17" customFormat="1" ht="18.75" x14ac:dyDescent="0.2">
      <c r="A46" s="129">
        <f>IF(F46&lt;&gt;"",1+MAX($A$7:A45),"")</f>
        <v>12</v>
      </c>
      <c r="B46" s="120" t="s">
        <v>235</v>
      </c>
      <c r="C46" s="120"/>
      <c r="D46" s="121"/>
      <c r="E46" s="122" t="s">
        <v>446</v>
      </c>
      <c r="F46" s="123">
        <v>1</v>
      </c>
      <c r="G46" s="124">
        <v>0</v>
      </c>
      <c r="H46" s="125">
        <f t="shared" ref="H46" si="20">F46*(1+G46)</f>
        <v>1</v>
      </c>
      <c r="I46" s="126" t="s">
        <v>27</v>
      </c>
      <c r="J46" s="127">
        <v>0</v>
      </c>
      <c r="K46" s="104">
        <f t="shared" ref="K46" si="21">J46*H46</f>
        <v>0</v>
      </c>
      <c r="L46" s="128"/>
    </row>
    <row r="47" spans="1:12" x14ac:dyDescent="0.2">
      <c r="A47" s="129" t="str">
        <f>IF(F47&lt;&gt;"",1+MAX($A$7:A46),"")</f>
        <v/>
      </c>
      <c r="B47" s="140"/>
      <c r="C47" s="140"/>
      <c r="D47" s="141"/>
      <c r="E47" s="153"/>
      <c r="F47" s="143"/>
      <c r="G47" s="144"/>
      <c r="H47" s="143"/>
      <c r="I47" s="145"/>
      <c r="J47" s="161"/>
      <c r="K47" s="147"/>
      <c r="L47" s="148"/>
    </row>
    <row r="48" spans="1:12" x14ac:dyDescent="0.2">
      <c r="A48" s="129" t="str">
        <f>IF(F48&lt;&gt;"",1+MAX($A$7:A47),"")</f>
        <v/>
      </c>
      <c r="B48" s="140"/>
      <c r="C48" s="140"/>
      <c r="D48" s="141"/>
      <c r="E48" s="142" t="s">
        <v>448</v>
      </c>
      <c r="F48" s="149"/>
      <c r="G48" s="144"/>
      <c r="H48" s="143"/>
      <c r="I48" s="145"/>
      <c r="J48" s="161"/>
      <c r="K48" s="105"/>
      <c r="L48" s="11">
        <f>SUM(K45:K47)</f>
        <v>0</v>
      </c>
    </row>
    <row r="49" spans="1:12" s="18" customFormat="1" ht="18.75" x14ac:dyDescent="0.2">
      <c r="A49" s="129" t="str">
        <f>IF(F49&lt;&gt;"",1+MAX($A$7:A48),"")</f>
        <v/>
      </c>
      <c r="B49" s="120"/>
      <c r="C49" s="120"/>
      <c r="D49" s="121"/>
      <c r="E49" s="122"/>
      <c r="F49" s="123"/>
      <c r="G49" s="124"/>
      <c r="H49" s="125"/>
      <c r="I49" s="126"/>
      <c r="J49" s="127"/>
      <c r="K49" s="104"/>
      <c r="L49" s="128"/>
    </row>
    <row r="50" spans="1:12" x14ac:dyDescent="0.2">
      <c r="A50" s="129" t="str">
        <f>IF(F50&lt;&gt;"",1+MAX($A$7:A49),"")</f>
        <v/>
      </c>
      <c r="B50" s="140"/>
      <c r="C50" s="140"/>
      <c r="D50" s="140"/>
      <c r="E50" s="156" t="s">
        <v>84</v>
      </c>
      <c r="F50" s="149"/>
      <c r="G50" s="144"/>
      <c r="H50" s="143"/>
      <c r="I50" s="145"/>
      <c r="J50" s="23"/>
      <c r="K50" s="157"/>
      <c r="L50" s="155"/>
    </row>
    <row r="51" spans="1:12" s="17" customFormat="1" ht="18.75" x14ac:dyDescent="0.2">
      <c r="A51" s="129">
        <f>IF(F51&lt;&gt;"",1+MAX($A$7:A50),"")</f>
        <v>13</v>
      </c>
      <c r="B51" s="120" t="s">
        <v>235</v>
      </c>
      <c r="C51" s="120"/>
      <c r="D51" s="121"/>
      <c r="E51" s="122" t="s">
        <v>87</v>
      </c>
      <c r="F51" s="123">
        <v>17189</v>
      </c>
      <c r="G51" s="124">
        <v>0.1</v>
      </c>
      <c r="H51" s="125">
        <f t="shared" ref="H51:H52" si="22">F51*(1+G51)</f>
        <v>18907.900000000001</v>
      </c>
      <c r="I51" s="126" t="s">
        <v>15</v>
      </c>
      <c r="J51" s="127">
        <v>0</v>
      </c>
      <c r="K51" s="104">
        <f t="shared" ref="K51:K52" si="23">J51*H51</f>
        <v>0</v>
      </c>
      <c r="L51" s="128"/>
    </row>
    <row r="52" spans="1:12" s="17" customFormat="1" ht="18.75" x14ac:dyDescent="0.2">
      <c r="A52" s="129">
        <f>IF(F52&lt;&gt;"",1+MAX($A$7:A51),"")</f>
        <v>14</v>
      </c>
      <c r="B52" s="120" t="s">
        <v>218</v>
      </c>
      <c r="C52" s="120"/>
      <c r="D52" s="121"/>
      <c r="E52" s="122" t="s">
        <v>86</v>
      </c>
      <c r="F52" s="123">
        <v>5013</v>
      </c>
      <c r="G52" s="124">
        <v>0.1</v>
      </c>
      <c r="H52" s="125">
        <f t="shared" si="22"/>
        <v>5514.3</v>
      </c>
      <c r="I52" s="126" t="s">
        <v>15</v>
      </c>
      <c r="J52" s="127">
        <f>J$51</f>
        <v>0</v>
      </c>
      <c r="K52" s="104">
        <f t="shared" si="23"/>
        <v>0</v>
      </c>
      <c r="L52" s="128"/>
    </row>
    <row r="53" spans="1:12" x14ac:dyDescent="0.2">
      <c r="A53" s="129" t="str">
        <f>IF(F53&lt;&gt;"",1+MAX($A$7:A52),"")</f>
        <v/>
      </c>
      <c r="B53" s="140"/>
      <c r="C53" s="140"/>
      <c r="D53" s="141"/>
      <c r="E53" s="153"/>
      <c r="F53" s="143"/>
      <c r="G53" s="144"/>
      <c r="H53" s="143"/>
      <c r="I53" s="145"/>
      <c r="J53" s="161"/>
      <c r="K53" s="147"/>
      <c r="L53" s="148"/>
    </row>
    <row r="54" spans="1:12" x14ac:dyDescent="0.2">
      <c r="A54" s="129" t="str">
        <f>IF(F54&lt;&gt;"",1+MAX($A$7:A53),"")</f>
        <v/>
      </c>
      <c r="B54" s="140"/>
      <c r="C54" s="140"/>
      <c r="D54" s="141"/>
      <c r="E54" s="142" t="s">
        <v>85</v>
      </c>
      <c r="F54" s="149"/>
      <c r="G54" s="144"/>
      <c r="H54" s="143"/>
      <c r="I54" s="145"/>
      <c r="J54" s="161"/>
      <c r="K54" s="105"/>
      <c r="L54" s="11">
        <f>SUM(K50:K53)</f>
        <v>0</v>
      </c>
    </row>
    <row r="55" spans="1:12" s="18" customFormat="1" ht="18.75" x14ac:dyDescent="0.2">
      <c r="A55" s="129" t="str">
        <f>IF(F55&lt;&gt;"",1+MAX($A$7:A54),"")</f>
        <v/>
      </c>
      <c r="B55" s="120"/>
      <c r="C55" s="120"/>
      <c r="D55" s="121"/>
      <c r="E55" s="122"/>
      <c r="F55" s="123"/>
      <c r="G55" s="124"/>
      <c r="H55" s="125"/>
      <c r="I55" s="126"/>
      <c r="J55" s="127"/>
      <c r="K55" s="104"/>
      <c r="L55" s="128"/>
    </row>
    <row r="56" spans="1:12" s="6" customFormat="1" x14ac:dyDescent="0.2">
      <c r="A56" s="129" t="str">
        <f>IF(F56&lt;&gt;"",1+MAX($A$7:A55),"")</f>
        <v/>
      </c>
      <c r="B56" s="150"/>
      <c r="C56" s="151"/>
      <c r="D56" s="151" t="s">
        <v>76</v>
      </c>
      <c r="E56" s="152" t="s">
        <v>77</v>
      </c>
      <c r="F56" s="149"/>
      <c r="G56" s="153"/>
      <c r="H56" s="153"/>
      <c r="I56" s="153"/>
      <c r="J56" s="154"/>
      <c r="K56" s="153"/>
      <c r="L56" s="155"/>
    </row>
    <row r="57" spans="1:12" x14ac:dyDescent="0.2">
      <c r="A57" s="129" t="str">
        <f>IF(F57&lt;&gt;"",1+MAX($A$7:A56),"")</f>
        <v/>
      </c>
      <c r="B57" s="140"/>
      <c r="C57" s="140"/>
      <c r="D57" s="140"/>
      <c r="E57" s="156" t="s">
        <v>88</v>
      </c>
      <c r="F57" s="149"/>
      <c r="G57" s="144"/>
      <c r="H57" s="143"/>
      <c r="I57" s="145"/>
      <c r="J57" s="23"/>
      <c r="K57" s="157"/>
      <c r="L57" s="155"/>
    </row>
    <row r="58" spans="1:12" s="17" customFormat="1" ht="63" x14ac:dyDescent="0.2">
      <c r="A58" s="129">
        <f>IF(F58&lt;&gt;"",1+MAX($A$7:A57),"")</f>
        <v>15</v>
      </c>
      <c r="B58" s="120" t="s">
        <v>173</v>
      </c>
      <c r="C58" s="120" t="s">
        <v>172</v>
      </c>
      <c r="D58" s="121"/>
      <c r="E58" s="122" t="s">
        <v>175</v>
      </c>
      <c r="F58" s="123">
        <f>3133.1+16.3*0.5</f>
        <v>3141.25</v>
      </c>
      <c r="G58" s="124">
        <v>0.1</v>
      </c>
      <c r="H58" s="125">
        <f t="shared" ref="H58:H59" si="24">F58*(1+G58)</f>
        <v>3455.3750000000005</v>
      </c>
      <c r="I58" s="126" t="s">
        <v>18</v>
      </c>
      <c r="J58" s="127">
        <v>0</v>
      </c>
      <c r="K58" s="104">
        <f t="shared" ref="K58:K59" si="25">J58*H58</f>
        <v>0</v>
      </c>
      <c r="L58" s="128"/>
    </row>
    <row r="59" spans="1:12" s="17" customFormat="1" ht="47.25" x14ac:dyDescent="0.2">
      <c r="A59" s="129">
        <f>IF(F59&lt;&gt;"",1+MAX($A$7:A58),"")</f>
        <v>16</v>
      </c>
      <c r="B59" s="120" t="s">
        <v>173</v>
      </c>
      <c r="C59" s="120" t="s">
        <v>174</v>
      </c>
      <c r="D59" s="121"/>
      <c r="E59" s="122" t="s">
        <v>176</v>
      </c>
      <c r="F59" s="123">
        <v>18001.3</v>
      </c>
      <c r="G59" s="124">
        <v>0.1</v>
      </c>
      <c r="H59" s="125">
        <f t="shared" si="24"/>
        <v>19801.43</v>
      </c>
      <c r="I59" s="126" t="s">
        <v>18</v>
      </c>
      <c r="J59" s="127">
        <v>0</v>
      </c>
      <c r="K59" s="104">
        <f t="shared" si="25"/>
        <v>0</v>
      </c>
      <c r="L59" s="128"/>
    </row>
    <row r="60" spans="1:12" s="17" customFormat="1" ht="31.5" x14ac:dyDescent="0.2">
      <c r="A60" s="129">
        <f>IF(F60&lt;&gt;"",1+MAX($A$7:A59),"")</f>
        <v>17</v>
      </c>
      <c r="B60" s="120" t="s">
        <v>173</v>
      </c>
      <c r="C60" s="120" t="s">
        <v>178</v>
      </c>
      <c r="D60" s="121"/>
      <c r="E60" s="122" t="s">
        <v>177</v>
      </c>
      <c r="F60" s="123">
        <f>86.7*0.67+23.8*1.5+153.9*1.67+58.7*2*2+79.4*3.83+27.5*3.83*2+958.1*4.83+150.4*4.5+105.9*4.67+126.3*5.25</f>
        <v>7562.4050000000007</v>
      </c>
      <c r="G60" s="124">
        <v>0.1</v>
      </c>
      <c r="H60" s="125">
        <f t="shared" ref="H60" si="26">F60*(1+G60)</f>
        <v>8318.6455000000005</v>
      </c>
      <c r="I60" s="126" t="s">
        <v>18</v>
      </c>
      <c r="J60" s="127">
        <v>0</v>
      </c>
      <c r="K60" s="104">
        <f t="shared" ref="K60" si="27">J60*H60</f>
        <v>0</v>
      </c>
      <c r="L60" s="128"/>
    </row>
    <row r="61" spans="1:12" x14ac:dyDescent="0.2">
      <c r="A61" s="129" t="str">
        <f>IF(F61&lt;&gt;"",1+MAX($A$7:A60),"")</f>
        <v/>
      </c>
      <c r="B61" s="140"/>
      <c r="C61" s="140"/>
      <c r="D61" s="141"/>
      <c r="E61" s="153"/>
      <c r="F61" s="143"/>
      <c r="G61" s="144"/>
      <c r="H61" s="143"/>
      <c r="I61" s="145"/>
      <c r="J61" s="161"/>
      <c r="K61" s="147"/>
      <c r="L61" s="148"/>
    </row>
    <row r="62" spans="1:12" x14ac:dyDescent="0.2">
      <c r="A62" s="129" t="str">
        <f>IF(F62&lt;&gt;"",1+MAX($A$7:A61),"")</f>
        <v/>
      </c>
      <c r="B62" s="140"/>
      <c r="C62" s="140"/>
      <c r="D62" s="141"/>
      <c r="E62" s="142" t="s">
        <v>171</v>
      </c>
      <c r="F62" s="149"/>
      <c r="G62" s="144"/>
      <c r="H62" s="143"/>
      <c r="I62" s="145"/>
      <c r="J62" s="161"/>
      <c r="K62" s="105"/>
      <c r="L62" s="11">
        <f>SUM(K57:K61)</f>
        <v>0</v>
      </c>
    </row>
    <row r="63" spans="1:12" s="18" customFormat="1" ht="18.75" x14ac:dyDescent="0.2">
      <c r="A63" s="129" t="str">
        <f>IF(F63&lt;&gt;"",1+MAX($A$7:A62),"")</f>
        <v/>
      </c>
      <c r="B63" s="120"/>
      <c r="C63" s="120"/>
      <c r="D63" s="121"/>
      <c r="E63" s="122"/>
      <c r="F63" s="123"/>
      <c r="G63" s="124"/>
      <c r="H63" s="125"/>
      <c r="I63" s="126"/>
      <c r="J63" s="127"/>
      <c r="K63" s="104"/>
      <c r="L63" s="128"/>
    </row>
    <row r="64" spans="1:12" x14ac:dyDescent="0.2">
      <c r="A64" s="129" t="str">
        <f>IF(F64&lt;&gt;"",1+MAX($A$7:A63),"")</f>
        <v/>
      </c>
      <c r="B64" s="140"/>
      <c r="C64" s="140"/>
      <c r="D64" s="140"/>
      <c r="E64" s="156" t="s">
        <v>179</v>
      </c>
      <c r="F64" s="149"/>
      <c r="G64" s="144"/>
      <c r="H64" s="143"/>
      <c r="I64" s="145"/>
      <c r="J64" s="23"/>
      <c r="K64" s="157"/>
      <c r="L64" s="155"/>
    </row>
    <row r="65" spans="1:12" s="17" customFormat="1" ht="18.75" x14ac:dyDescent="0.2">
      <c r="A65" s="129">
        <f>IF(F65&lt;&gt;"",1+MAX($A$7:A64),"")</f>
        <v>18</v>
      </c>
      <c r="B65" s="120" t="s">
        <v>182</v>
      </c>
      <c r="C65" s="120" t="s">
        <v>160</v>
      </c>
      <c r="D65" s="121"/>
      <c r="E65" s="122" t="s">
        <v>180</v>
      </c>
      <c r="F65" s="123">
        <f>275.3+82.5</f>
        <v>357.8</v>
      </c>
      <c r="G65" s="124">
        <v>0.1</v>
      </c>
      <c r="H65" s="125">
        <f t="shared" ref="H65" si="28">F65*(1+G65)</f>
        <v>393.58000000000004</v>
      </c>
      <c r="I65" s="126" t="s">
        <v>18</v>
      </c>
      <c r="J65" s="127">
        <v>0</v>
      </c>
      <c r="K65" s="104">
        <f t="shared" ref="K65" si="29">J65*H65</f>
        <v>0</v>
      </c>
      <c r="L65" s="128"/>
    </row>
    <row r="66" spans="1:12" x14ac:dyDescent="0.2">
      <c r="A66" s="129" t="str">
        <f>IF(F66&lt;&gt;"",1+MAX($A$7:A65),"")</f>
        <v/>
      </c>
      <c r="B66" s="140"/>
      <c r="C66" s="140"/>
      <c r="D66" s="141"/>
      <c r="E66" s="153"/>
      <c r="F66" s="143"/>
      <c r="G66" s="144"/>
      <c r="H66" s="143"/>
      <c r="I66" s="145"/>
      <c r="J66" s="161"/>
      <c r="K66" s="147"/>
      <c r="L66" s="148"/>
    </row>
    <row r="67" spans="1:12" x14ac:dyDescent="0.2">
      <c r="A67" s="129" t="str">
        <f>IF(F67&lt;&gt;"",1+MAX($A$7:A66),"")</f>
        <v/>
      </c>
      <c r="B67" s="140"/>
      <c r="C67" s="140"/>
      <c r="D67" s="141"/>
      <c r="E67" s="142" t="s">
        <v>181</v>
      </c>
      <c r="F67" s="149"/>
      <c r="G67" s="144"/>
      <c r="H67" s="143"/>
      <c r="I67" s="145"/>
      <c r="J67" s="161"/>
      <c r="K67" s="105"/>
      <c r="L67" s="11">
        <f>SUM(K64:K66)</f>
        <v>0</v>
      </c>
    </row>
    <row r="68" spans="1:12" s="18" customFormat="1" ht="18.75" x14ac:dyDescent="0.2">
      <c r="A68" s="129" t="str">
        <f>IF(F68&lt;&gt;"",1+MAX($A$7:A67),"")</f>
        <v/>
      </c>
      <c r="B68" s="120"/>
      <c r="C68" s="120"/>
      <c r="D68" s="121"/>
      <c r="E68" s="122"/>
      <c r="F68" s="123"/>
      <c r="G68" s="124"/>
      <c r="H68" s="125"/>
      <c r="I68" s="126"/>
      <c r="J68" s="127"/>
      <c r="K68" s="104"/>
      <c r="L68" s="128"/>
    </row>
    <row r="69" spans="1:12" x14ac:dyDescent="0.2">
      <c r="A69" s="129" t="str">
        <f>IF(F69&lt;&gt;"",1+MAX($A$7:A68),"")</f>
        <v/>
      </c>
      <c r="B69" s="140"/>
      <c r="C69" s="140"/>
      <c r="D69" s="140"/>
      <c r="E69" s="156" t="s">
        <v>89</v>
      </c>
      <c r="F69" s="149"/>
      <c r="G69" s="144"/>
      <c r="H69" s="143"/>
      <c r="I69" s="145"/>
      <c r="J69" s="23"/>
      <c r="K69" s="157"/>
      <c r="L69" s="155"/>
    </row>
    <row r="70" spans="1:12" s="17" customFormat="1" ht="31.5" x14ac:dyDescent="0.2">
      <c r="A70" s="129">
        <f>IF(F70&lt;&gt;"",1+MAX($A$7:A69),"")</f>
        <v>19</v>
      </c>
      <c r="B70" s="120" t="s">
        <v>173</v>
      </c>
      <c r="C70" s="120" t="s">
        <v>185</v>
      </c>
      <c r="D70" s="121"/>
      <c r="E70" s="122" t="s">
        <v>184</v>
      </c>
      <c r="F70" s="123">
        <v>84.3</v>
      </c>
      <c r="G70" s="124">
        <v>0.1</v>
      </c>
      <c r="H70" s="125">
        <f t="shared" ref="H70:H80" si="30">F70*(1+G70)</f>
        <v>92.73</v>
      </c>
      <c r="I70" s="126" t="s">
        <v>15</v>
      </c>
      <c r="J70" s="127">
        <v>0</v>
      </c>
      <c r="K70" s="104">
        <f t="shared" ref="K70:K80" si="31">J70*H70</f>
        <v>0</v>
      </c>
      <c r="L70" s="128"/>
    </row>
    <row r="71" spans="1:12" s="17" customFormat="1" ht="31.5" x14ac:dyDescent="0.2">
      <c r="A71" s="129">
        <f>IF(F71&lt;&gt;"",1+MAX($A$7:A70),"")</f>
        <v>20</v>
      </c>
      <c r="B71" s="120" t="s">
        <v>173</v>
      </c>
      <c r="C71" s="120" t="s">
        <v>185</v>
      </c>
      <c r="D71" s="121"/>
      <c r="E71" s="122" t="s">
        <v>215</v>
      </c>
      <c r="F71" s="123">
        <v>52</v>
      </c>
      <c r="G71" s="124">
        <v>0.1</v>
      </c>
      <c r="H71" s="125">
        <f t="shared" si="30"/>
        <v>57.2</v>
      </c>
      <c r="I71" s="126" t="s">
        <v>15</v>
      </c>
      <c r="J71" s="127">
        <v>0</v>
      </c>
      <c r="K71" s="104">
        <f t="shared" si="31"/>
        <v>0</v>
      </c>
      <c r="L71" s="128"/>
    </row>
    <row r="72" spans="1:12" s="17" customFormat="1" ht="31.5" x14ac:dyDescent="0.2">
      <c r="A72" s="129">
        <f>IF(F72&lt;&gt;"",1+MAX($A$7:A71),"")</f>
        <v>21</v>
      </c>
      <c r="B72" s="120" t="s">
        <v>173</v>
      </c>
      <c r="C72" s="120" t="s">
        <v>185</v>
      </c>
      <c r="D72" s="121"/>
      <c r="E72" s="122" t="s">
        <v>187</v>
      </c>
      <c r="F72" s="123">
        <v>1770.25</v>
      </c>
      <c r="G72" s="124">
        <v>0.1</v>
      </c>
      <c r="H72" s="125">
        <f t="shared" si="30"/>
        <v>1947.2750000000001</v>
      </c>
      <c r="I72" s="126" t="s">
        <v>15</v>
      </c>
      <c r="J72" s="127">
        <v>0</v>
      </c>
      <c r="K72" s="104">
        <f t="shared" si="31"/>
        <v>0</v>
      </c>
      <c r="L72" s="128"/>
    </row>
    <row r="73" spans="1:12" s="17" customFormat="1" ht="31.5" x14ac:dyDescent="0.2">
      <c r="A73" s="129">
        <f>IF(F73&lt;&gt;"",1+MAX($A$7:A72),"")</f>
        <v>22</v>
      </c>
      <c r="B73" s="120" t="s">
        <v>173</v>
      </c>
      <c r="C73" s="120" t="s">
        <v>185</v>
      </c>
      <c r="D73" s="121"/>
      <c r="E73" s="122" t="s">
        <v>188</v>
      </c>
      <c r="F73" s="123">
        <v>35.4</v>
      </c>
      <c r="G73" s="124">
        <v>0.1</v>
      </c>
      <c r="H73" s="125">
        <f t="shared" ref="H73" si="32">F73*(1+G73)</f>
        <v>38.940000000000005</v>
      </c>
      <c r="I73" s="126" t="s">
        <v>15</v>
      </c>
      <c r="J73" s="127">
        <v>0</v>
      </c>
      <c r="K73" s="104">
        <f t="shared" ref="K73" si="33">J73*H73</f>
        <v>0</v>
      </c>
      <c r="L73" s="128"/>
    </row>
    <row r="74" spans="1:12" s="17" customFormat="1" ht="31.5" x14ac:dyDescent="0.2">
      <c r="A74" s="129">
        <f>IF(F74&lt;&gt;"",1+MAX($A$7:A73),"")</f>
        <v>23</v>
      </c>
      <c r="B74" s="120" t="s">
        <v>173</v>
      </c>
      <c r="C74" s="120" t="s">
        <v>185</v>
      </c>
      <c r="D74" s="121"/>
      <c r="E74" s="122" t="s">
        <v>214</v>
      </c>
      <c r="F74" s="123">
        <v>52</v>
      </c>
      <c r="G74" s="124">
        <v>0.1</v>
      </c>
      <c r="H74" s="125">
        <f t="shared" si="30"/>
        <v>57.2</v>
      </c>
      <c r="I74" s="126" t="s">
        <v>15</v>
      </c>
      <c r="J74" s="127">
        <v>0</v>
      </c>
      <c r="K74" s="104">
        <f t="shared" si="31"/>
        <v>0</v>
      </c>
      <c r="L74" s="128"/>
    </row>
    <row r="75" spans="1:12" s="17" customFormat="1" ht="31.5" x14ac:dyDescent="0.2">
      <c r="A75" s="129">
        <f>IF(F75&lt;&gt;"",1+MAX($A$7:A74),"")</f>
        <v>24</v>
      </c>
      <c r="B75" s="120" t="s">
        <v>173</v>
      </c>
      <c r="C75" s="120" t="s">
        <v>185</v>
      </c>
      <c r="D75" s="121"/>
      <c r="E75" s="122" t="s">
        <v>189</v>
      </c>
      <c r="F75" s="123">
        <v>137.9</v>
      </c>
      <c r="G75" s="124">
        <v>0.1</v>
      </c>
      <c r="H75" s="125">
        <f t="shared" ref="H75:H78" si="34">F75*(1+G75)</f>
        <v>151.69000000000003</v>
      </c>
      <c r="I75" s="126" t="s">
        <v>15</v>
      </c>
      <c r="J75" s="127">
        <v>0</v>
      </c>
      <c r="K75" s="104">
        <f t="shared" ref="K75:K78" si="35">J75*H75</f>
        <v>0</v>
      </c>
      <c r="L75" s="128"/>
    </row>
    <row r="76" spans="1:12" s="17" customFormat="1" ht="31.5" x14ac:dyDescent="0.2">
      <c r="A76" s="129">
        <f>IF(F76&lt;&gt;"",1+MAX($A$7:A75),"")</f>
        <v>25</v>
      </c>
      <c r="B76" s="120" t="s">
        <v>173</v>
      </c>
      <c r="C76" s="120" t="s">
        <v>185</v>
      </c>
      <c r="D76" s="121"/>
      <c r="E76" s="122" t="s">
        <v>186</v>
      </c>
      <c r="F76" s="123">
        <v>1770.25</v>
      </c>
      <c r="G76" s="124">
        <v>0.1</v>
      </c>
      <c r="H76" s="125">
        <f t="shared" ref="H76:H77" si="36">F76*(1+G76)</f>
        <v>1947.2750000000001</v>
      </c>
      <c r="I76" s="126" t="s">
        <v>15</v>
      </c>
      <c r="J76" s="127">
        <v>0</v>
      </c>
      <c r="K76" s="104">
        <f t="shared" ref="K76:K77" si="37">J76*H76</f>
        <v>0</v>
      </c>
      <c r="L76" s="128"/>
    </row>
    <row r="77" spans="1:12" s="17" customFormat="1" ht="31.5" x14ac:dyDescent="0.2">
      <c r="A77" s="129">
        <f>IF(F77&lt;&gt;"",1+MAX($A$7:A76),"")</f>
        <v>26</v>
      </c>
      <c r="B77" s="120" t="s">
        <v>173</v>
      </c>
      <c r="C77" s="120" t="s">
        <v>185</v>
      </c>
      <c r="D77" s="121"/>
      <c r="E77" s="122" t="s">
        <v>216</v>
      </c>
      <c r="F77" s="123">
        <v>1770.25</v>
      </c>
      <c r="G77" s="124">
        <v>0.1</v>
      </c>
      <c r="H77" s="125">
        <f t="shared" si="36"/>
        <v>1947.2750000000001</v>
      </c>
      <c r="I77" s="126" t="s">
        <v>15</v>
      </c>
      <c r="J77" s="127">
        <v>0</v>
      </c>
      <c r="K77" s="104">
        <f t="shared" si="37"/>
        <v>0</v>
      </c>
      <c r="L77" s="128"/>
    </row>
    <row r="78" spans="1:12" s="17" customFormat="1" ht="31.5" x14ac:dyDescent="0.2">
      <c r="A78" s="129">
        <f>IF(F78&lt;&gt;"",1+MAX($A$7:A77),"")</f>
        <v>27</v>
      </c>
      <c r="B78" s="120" t="s">
        <v>173</v>
      </c>
      <c r="C78" s="120" t="s">
        <v>185</v>
      </c>
      <c r="D78" s="121"/>
      <c r="E78" s="122" t="s">
        <v>217</v>
      </c>
      <c r="F78" s="123">
        <v>1770.25</v>
      </c>
      <c r="G78" s="124">
        <v>0.1</v>
      </c>
      <c r="H78" s="125">
        <f t="shared" si="34"/>
        <v>1947.2750000000001</v>
      </c>
      <c r="I78" s="126" t="s">
        <v>15</v>
      </c>
      <c r="J78" s="127">
        <v>0</v>
      </c>
      <c r="K78" s="104">
        <f t="shared" si="35"/>
        <v>0</v>
      </c>
      <c r="L78" s="128"/>
    </row>
    <row r="79" spans="1:12" s="17" customFormat="1" ht="31.5" x14ac:dyDescent="0.2">
      <c r="A79" s="129">
        <f>IF(F79&lt;&gt;"",1+MAX($A$7:A78),"")</f>
        <v>28</v>
      </c>
      <c r="B79" s="120" t="s">
        <v>173</v>
      </c>
      <c r="C79" s="120" t="s">
        <v>185</v>
      </c>
      <c r="D79" s="121"/>
      <c r="E79" s="122" t="s">
        <v>212</v>
      </c>
      <c r="F79" s="123">
        <f>2*11.5+1*7.5</f>
        <v>30.5</v>
      </c>
      <c r="G79" s="124">
        <v>0.1</v>
      </c>
      <c r="H79" s="125">
        <f t="shared" si="30"/>
        <v>33.550000000000004</v>
      </c>
      <c r="I79" s="126" t="s">
        <v>15</v>
      </c>
      <c r="J79" s="127">
        <v>0</v>
      </c>
      <c r="K79" s="104">
        <f t="shared" si="31"/>
        <v>0</v>
      </c>
      <c r="L79" s="128"/>
    </row>
    <row r="80" spans="1:12" s="17" customFormat="1" ht="31.5" x14ac:dyDescent="0.2">
      <c r="A80" s="129">
        <f>IF(F80&lt;&gt;"",1+MAX($A$7:A79),"")</f>
        <v>29</v>
      </c>
      <c r="B80" s="120" t="s">
        <v>173</v>
      </c>
      <c r="C80" s="120" t="s">
        <v>185</v>
      </c>
      <c r="D80" s="121"/>
      <c r="E80" s="122" t="s">
        <v>213</v>
      </c>
      <c r="F80" s="123">
        <v>7</v>
      </c>
      <c r="G80" s="124">
        <v>0</v>
      </c>
      <c r="H80" s="125">
        <f t="shared" si="30"/>
        <v>7</v>
      </c>
      <c r="I80" s="126" t="s">
        <v>20</v>
      </c>
      <c r="J80" s="127">
        <v>0</v>
      </c>
      <c r="K80" s="104">
        <f t="shared" si="31"/>
        <v>0</v>
      </c>
      <c r="L80" s="128"/>
    </row>
    <row r="81" spans="1:12" s="17" customFormat="1" ht="31.5" x14ac:dyDescent="0.2">
      <c r="A81" s="129">
        <f>IF(F81&lt;&gt;"",1+MAX($A$7:A80),"")</f>
        <v>30</v>
      </c>
      <c r="B81" s="120" t="s">
        <v>173</v>
      </c>
      <c r="C81" s="120" t="s">
        <v>185</v>
      </c>
      <c r="D81" s="121"/>
      <c r="E81" s="122" t="s">
        <v>183</v>
      </c>
      <c r="F81" s="123">
        <v>32</v>
      </c>
      <c r="G81" s="124">
        <v>0</v>
      </c>
      <c r="H81" s="125">
        <f t="shared" ref="H81" si="38">F81*(1+G81)</f>
        <v>32</v>
      </c>
      <c r="I81" s="126" t="s">
        <v>20</v>
      </c>
      <c r="J81" s="139">
        <f>J$80</f>
        <v>0</v>
      </c>
      <c r="K81" s="104">
        <f t="shared" ref="K81" si="39">J81*H81</f>
        <v>0</v>
      </c>
      <c r="L81" s="128"/>
    </row>
    <row r="82" spans="1:12" x14ac:dyDescent="0.2">
      <c r="A82" s="129" t="str">
        <f>IF(F82&lt;&gt;"",1+MAX($A$7:A81),"")</f>
        <v/>
      </c>
      <c r="B82" s="140"/>
      <c r="C82" s="140"/>
      <c r="D82" s="141"/>
      <c r="E82" s="153"/>
      <c r="F82" s="143"/>
      <c r="G82" s="144"/>
      <c r="H82" s="143"/>
      <c r="I82" s="145"/>
      <c r="J82" s="161"/>
      <c r="K82" s="147"/>
      <c r="L82" s="148"/>
    </row>
    <row r="83" spans="1:12" x14ac:dyDescent="0.2">
      <c r="A83" s="129" t="str">
        <f>IF(F83&lt;&gt;"",1+MAX($A$7:A82),"")</f>
        <v/>
      </c>
      <c r="B83" s="140"/>
      <c r="C83" s="140"/>
      <c r="D83" s="141"/>
      <c r="E83" s="142" t="s">
        <v>90</v>
      </c>
      <c r="F83" s="149"/>
      <c r="G83" s="144"/>
      <c r="H83" s="143"/>
      <c r="I83" s="145"/>
      <c r="J83" s="161"/>
      <c r="K83" s="105"/>
      <c r="L83" s="11">
        <f>SUM(K69:K82)</f>
        <v>0</v>
      </c>
    </row>
    <row r="84" spans="1:12" s="18" customFormat="1" ht="18.75" x14ac:dyDescent="0.2">
      <c r="A84" s="129" t="str">
        <f>IF(F84&lt;&gt;"",1+MAX($A$7:A83),"")</f>
        <v/>
      </c>
      <c r="B84" s="120"/>
      <c r="C84" s="120"/>
      <c r="D84" s="121"/>
      <c r="E84" s="122"/>
      <c r="F84" s="123"/>
      <c r="G84" s="124"/>
      <c r="H84" s="125"/>
      <c r="I84" s="126"/>
      <c r="J84" s="127"/>
      <c r="K84" s="104"/>
      <c r="L84" s="128"/>
    </row>
    <row r="85" spans="1:12" x14ac:dyDescent="0.2">
      <c r="A85" s="129" t="str">
        <f>IF(F85&lt;&gt;"",1+MAX($A$7:A84),"")</f>
        <v/>
      </c>
      <c r="B85" s="140"/>
      <c r="C85" s="140"/>
      <c r="D85" s="140"/>
      <c r="E85" s="156" t="s">
        <v>169</v>
      </c>
      <c r="F85" s="149"/>
      <c r="G85" s="144"/>
      <c r="H85" s="143"/>
      <c r="I85" s="145"/>
      <c r="J85" s="23"/>
      <c r="K85" s="157"/>
      <c r="L85" s="155"/>
    </row>
    <row r="86" spans="1:12" s="17" customFormat="1" ht="31.5" x14ac:dyDescent="0.2">
      <c r="A86" s="129">
        <f>IF(F86&lt;&gt;"",1+MAX($A$7:A85),"")</f>
        <v>31</v>
      </c>
      <c r="B86" s="140" t="s">
        <v>166</v>
      </c>
      <c r="C86" s="120" t="s">
        <v>165</v>
      </c>
      <c r="D86" s="121"/>
      <c r="E86" s="122" t="s">
        <v>170</v>
      </c>
      <c r="F86" s="123">
        <f>10246.9+31.9*0.75+33.8*1.167+40.4*1.25+80.2*1.58+9.1*1.67+57.3*1.75+30.3*2.1+16.1*23.83+19.9*2.42+8*2.67+9.1*3+9*5.58+27725.3</f>
        <v>38922.588599999995</v>
      </c>
      <c r="G86" s="124">
        <v>0.1</v>
      </c>
      <c r="H86" s="125">
        <f t="shared" ref="H86:H87" si="40">F86*(1+G86)</f>
        <v>42814.847459999997</v>
      </c>
      <c r="I86" s="126" t="s">
        <v>18</v>
      </c>
      <c r="J86" s="127">
        <v>0</v>
      </c>
      <c r="K86" s="104">
        <f t="shared" ref="K86:K87" si="41">J86*H86</f>
        <v>0</v>
      </c>
      <c r="L86" s="128"/>
    </row>
    <row r="87" spans="1:12" s="17" customFormat="1" ht="18.75" x14ac:dyDescent="0.2">
      <c r="A87" s="129">
        <f>IF(F87&lt;&gt;"",1+MAX($A$7:A86),"")</f>
        <v>32</v>
      </c>
      <c r="B87" s="140" t="s">
        <v>399</v>
      </c>
      <c r="C87" s="120" t="s">
        <v>398</v>
      </c>
      <c r="D87" s="121"/>
      <c r="E87" s="122" t="s">
        <v>397</v>
      </c>
      <c r="F87" s="123">
        <f>26.3*8</f>
        <v>210.4</v>
      </c>
      <c r="G87" s="124">
        <v>0.1</v>
      </c>
      <c r="H87" s="125">
        <f t="shared" si="40"/>
        <v>231.44000000000003</v>
      </c>
      <c r="I87" s="126" t="s">
        <v>18</v>
      </c>
      <c r="J87" s="127">
        <f>J$86</f>
        <v>0</v>
      </c>
      <c r="K87" s="104">
        <f t="shared" si="41"/>
        <v>0</v>
      </c>
      <c r="L87" s="128"/>
    </row>
    <row r="88" spans="1:12" x14ac:dyDescent="0.2">
      <c r="A88" s="129" t="str">
        <f>IF(F88&lt;&gt;"",1+MAX($A$7:A87),"")</f>
        <v/>
      </c>
      <c r="B88" s="140"/>
      <c r="C88" s="140"/>
      <c r="D88" s="141"/>
      <c r="E88" s="153"/>
      <c r="F88" s="143"/>
      <c r="G88" s="144"/>
      <c r="H88" s="143"/>
      <c r="I88" s="145"/>
      <c r="J88" s="161"/>
      <c r="K88" s="147"/>
      <c r="L88" s="148"/>
    </row>
    <row r="89" spans="1:12" x14ac:dyDescent="0.2">
      <c r="A89" s="129" t="str">
        <f>IF(F89&lt;&gt;"",1+MAX($A$7:A88),"")</f>
        <v/>
      </c>
      <c r="B89" s="140"/>
      <c r="C89" s="140"/>
      <c r="D89" s="141"/>
      <c r="E89" s="142" t="s">
        <v>396</v>
      </c>
      <c r="F89" s="149"/>
      <c r="G89" s="144"/>
      <c r="H89" s="143"/>
      <c r="I89" s="145"/>
      <c r="J89" s="161"/>
      <c r="K89" s="105"/>
      <c r="L89" s="11">
        <f>SUM(K85:K88)</f>
        <v>0</v>
      </c>
    </row>
    <row r="90" spans="1:12" s="18" customFormat="1" ht="18.75" x14ac:dyDescent="0.2">
      <c r="A90" s="129" t="str">
        <f>IF(F90&lt;&gt;"",1+MAX($A$7:A89),"")</f>
        <v/>
      </c>
      <c r="B90" s="120"/>
      <c r="C90" s="120"/>
      <c r="D90" s="121"/>
      <c r="E90" s="122"/>
      <c r="F90" s="123"/>
      <c r="G90" s="124"/>
      <c r="H90" s="125"/>
      <c r="I90" s="126"/>
      <c r="J90" s="127"/>
      <c r="K90" s="104"/>
      <c r="L90" s="128"/>
    </row>
    <row r="91" spans="1:12" x14ac:dyDescent="0.2">
      <c r="A91" s="129" t="str">
        <f>IF(F91&lt;&gt;"",1+MAX($A$7:A90),"")</f>
        <v/>
      </c>
      <c r="B91" s="140"/>
      <c r="C91" s="140"/>
      <c r="D91" s="140"/>
      <c r="E91" s="156" t="s">
        <v>436</v>
      </c>
      <c r="F91" s="149"/>
      <c r="G91" s="144"/>
      <c r="H91" s="143"/>
      <c r="I91" s="145"/>
      <c r="J91" s="23"/>
      <c r="K91" s="157"/>
      <c r="L91" s="155"/>
    </row>
    <row r="92" spans="1:12" s="17" customFormat="1" ht="31.5" x14ac:dyDescent="0.2">
      <c r="A92" s="129">
        <f>IF(F92&lt;&gt;"",1+MAX($A$7:A91),"")</f>
        <v>33</v>
      </c>
      <c r="B92" s="140" t="s">
        <v>437</v>
      </c>
      <c r="C92" s="120" t="s">
        <v>439</v>
      </c>
      <c r="D92" s="121"/>
      <c r="E92" s="122" t="s">
        <v>440</v>
      </c>
      <c r="F92" s="123">
        <f>46.5*2</f>
        <v>93</v>
      </c>
      <c r="G92" s="124">
        <v>0.1</v>
      </c>
      <c r="H92" s="125">
        <f t="shared" ref="H92" si="42">F92*(1+G92)</f>
        <v>102.30000000000001</v>
      </c>
      <c r="I92" s="126" t="s">
        <v>450</v>
      </c>
      <c r="J92" s="139">
        <v>0</v>
      </c>
      <c r="K92" s="104">
        <f t="shared" ref="K92" si="43">J92*H92</f>
        <v>0</v>
      </c>
      <c r="L92" s="128"/>
    </row>
    <row r="93" spans="1:12" x14ac:dyDescent="0.2">
      <c r="A93" s="129" t="str">
        <f>IF(F93&lt;&gt;"",1+MAX($A$7:A92),"")</f>
        <v/>
      </c>
      <c r="B93" s="140"/>
      <c r="C93" s="140"/>
      <c r="D93" s="141"/>
      <c r="E93" s="153"/>
      <c r="F93" s="143"/>
      <c r="G93" s="144"/>
      <c r="H93" s="143"/>
      <c r="I93" s="145"/>
      <c r="J93" s="161"/>
      <c r="K93" s="147"/>
      <c r="L93" s="148"/>
    </row>
    <row r="94" spans="1:12" x14ac:dyDescent="0.2">
      <c r="A94" s="129" t="str">
        <f>IF(F94&lt;&gt;"",1+MAX($A$7:A93),"")</f>
        <v/>
      </c>
      <c r="B94" s="140"/>
      <c r="C94" s="140"/>
      <c r="D94" s="141"/>
      <c r="E94" s="142" t="s">
        <v>438</v>
      </c>
      <c r="F94" s="149"/>
      <c r="G94" s="144"/>
      <c r="H94" s="143"/>
      <c r="I94" s="145"/>
      <c r="J94" s="161"/>
      <c r="K94" s="105"/>
      <c r="L94" s="11">
        <f>SUM(K91:K93)</f>
        <v>0</v>
      </c>
    </row>
    <row r="95" spans="1:12" s="18" customFormat="1" ht="18.75" x14ac:dyDescent="0.2">
      <c r="A95" s="129" t="str">
        <f>IF(F95&lt;&gt;"",1+MAX($A$7:A94),"")</f>
        <v/>
      </c>
      <c r="B95" s="120"/>
      <c r="C95" s="120"/>
      <c r="D95" s="121"/>
      <c r="E95" s="122"/>
      <c r="F95" s="123"/>
      <c r="G95" s="124"/>
      <c r="H95" s="125"/>
      <c r="I95" s="126"/>
      <c r="J95" s="127"/>
      <c r="K95" s="104"/>
      <c r="L95" s="128"/>
    </row>
    <row r="96" spans="1:12" s="6" customFormat="1" x14ac:dyDescent="0.2">
      <c r="A96" s="129" t="str">
        <f>IF(F96&lt;&gt;"",1+MAX($A$7:A95),"")</f>
        <v/>
      </c>
      <c r="B96" s="150"/>
      <c r="C96" s="151"/>
      <c r="D96" s="151" t="s">
        <v>51</v>
      </c>
      <c r="E96" s="152" t="s">
        <v>52</v>
      </c>
      <c r="F96" s="149"/>
      <c r="G96" s="153"/>
      <c r="H96" s="153"/>
      <c r="I96" s="153"/>
      <c r="J96" s="154"/>
      <c r="K96" s="153"/>
      <c r="L96" s="155"/>
    </row>
    <row r="97" spans="1:12" x14ac:dyDescent="0.2">
      <c r="A97" s="129" t="str">
        <f>IF(F97&lt;&gt;"",1+MAX($A$7:A96),"")</f>
        <v/>
      </c>
      <c r="B97" s="140"/>
      <c r="C97" s="140"/>
      <c r="D97" s="140"/>
      <c r="E97" s="156" t="s">
        <v>53</v>
      </c>
      <c r="F97" s="149"/>
      <c r="G97" s="144"/>
      <c r="H97" s="143"/>
      <c r="I97" s="145"/>
      <c r="J97" s="23"/>
      <c r="K97" s="157"/>
      <c r="L97" s="155"/>
    </row>
    <row r="98" spans="1:12" s="21" customFormat="1" x14ac:dyDescent="0.2">
      <c r="A98" s="129" t="str">
        <f>IF(F98&lt;&gt;"",1+MAX($A$7:A97),"")</f>
        <v/>
      </c>
      <c r="B98" s="140"/>
      <c r="C98" s="140"/>
      <c r="D98" s="141"/>
      <c r="E98" s="158" t="s">
        <v>233</v>
      </c>
      <c r="F98" s="149"/>
      <c r="G98" s="144"/>
      <c r="H98" s="143"/>
      <c r="I98" s="145"/>
      <c r="J98" s="37"/>
      <c r="K98" s="159"/>
      <c r="L98" s="160"/>
    </row>
    <row r="99" spans="1:12" s="17" customFormat="1" ht="63" x14ac:dyDescent="0.2">
      <c r="A99" s="129">
        <f>IF(F99&lt;&gt;"",1+MAX($A$7:A98),"")</f>
        <v>34</v>
      </c>
      <c r="B99" s="120" t="s">
        <v>235</v>
      </c>
      <c r="C99" s="120" t="s">
        <v>236</v>
      </c>
      <c r="D99" s="121"/>
      <c r="E99" s="122" t="s">
        <v>234</v>
      </c>
      <c r="F99" s="123">
        <v>4</v>
      </c>
      <c r="G99" s="124">
        <v>0</v>
      </c>
      <c r="H99" s="125">
        <f t="shared" ref="H99:H100" si="44">F99*(1+G99)</f>
        <v>4</v>
      </c>
      <c r="I99" s="126" t="s">
        <v>20</v>
      </c>
      <c r="J99" s="139">
        <v>0</v>
      </c>
      <c r="K99" s="104">
        <f t="shared" ref="K99:K100" si="45">J99*H99</f>
        <v>0</v>
      </c>
      <c r="L99" s="128"/>
    </row>
    <row r="100" spans="1:12" s="17" customFormat="1" ht="63" x14ac:dyDescent="0.2">
      <c r="A100" s="129">
        <f>IF(F100&lt;&gt;"",1+MAX($A$7:A99),"")</f>
        <v>35</v>
      </c>
      <c r="B100" s="120" t="s">
        <v>235</v>
      </c>
      <c r="C100" s="120" t="s">
        <v>236</v>
      </c>
      <c r="D100" s="121"/>
      <c r="E100" s="122" t="s">
        <v>237</v>
      </c>
      <c r="F100" s="123">
        <v>5</v>
      </c>
      <c r="G100" s="124">
        <v>0</v>
      </c>
      <c r="H100" s="125">
        <f t="shared" si="44"/>
        <v>5</v>
      </c>
      <c r="I100" s="126" t="s">
        <v>20</v>
      </c>
      <c r="J100" s="139">
        <v>0</v>
      </c>
      <c r="K100" s="104">
        <f t="shared" si="45"/>
        <v>0</v>
      </c>
      <c r="L100" s="128"/>
    </row>
    <row r="101" spans="1:12" s="17" customFormat="1" ht="47.25" x14ac:dyDescent="0.2">
      <c r="A101" s="129">
        <f>IF(F101&lt;&gt;"",1+MAX($A$7:A100),"")</f>
        <v>36</v>
      </c>
      <c r="B101" s="120" t="s">
        <v>235</v>
      </c>
      <c r="C101" s="120" t="s">
        <v>236</v>
      </c>
      <c r="D101" s="121"/>
      <c r="E101" s="122" t="s">
        <v>253</v>
      </c>
      <c r="F101" s="123">
        <v>6</v>
      </c>
      <c r="G101" s="124">
        <v>0</v>
      </c>
      <c r="H101" s="125">
        <f>F101*(1+G101)</f>
        <v>6</v>
      </c>
      <c r="I101" s="126" t="s">
        <v>20</v>
      </c>
      <c r="J101" s="139">
        <v>0</v>
      </c>
      <c r="K101" s="104">
        <f>J101*H101</f>
        <v>0</v>
      </c>
      <c r="L101" s="128"/>
    </row>
    <row r="102" spans="1:12" s="21" customFormat="1" x14ac:dyDescent="0.2">
      <c r="A102" s="129" t="str">
        <f>IF(F102&lt;&gt;"",1+MAX($A$7:A101),"")</f>
        <v/>
      </c>
      <c r="B102" s="140"/>
      <c r="C102" s="140"/>
      <c r="D102" s="141"/>
      <c r="E102" s="158" t="s">
        <v>238</v>
      </c>
      <c r="F102" s="149"/>
      <c r="G102" s="144"/>
      <c r="H102" s="143"/>
      <c r="I102" s="145"/>
      <c r="J102" s="37"/>
      <c r="K102" s="159"/>
      <c r="L102" s="160"/>
    </row>
    <row r="103" spans="1:12" s="17" customFormat="1" ht="47.25" x14ac:dyDescent="0.2">
      <c r="A103" s="129">
        <f>IF(F103&lt;&gt;"",1+MAX($A$7:A102),"")</f>
        <v>37</v>
      </c>
      <c r="B103" s="120" t="s">
        <v>235</v>
      </c>
      <c r="C103" s="120" t="s">
        <v>236</v>
      </c>
      <c r="D103" s="121"/>
      <c r="E103" s="122" t="s">
        <v>241</v>
      </c>
      <c r="F103" s="123">
        <v>1</v>
      </c>
      <c r="G103" s="124">
        <v>0</v>
      </c>
      <c r="H103" s="125">
        <f t="shared" ref="H103:H105" si="46">F103*(1+G103)</f>
        <v>1</v>
      </c>
      <c r="I103" s="126" t="s">
        <v>20</v>
      </c>
      <c r="J103" s="139">
        <v>0</v>
      </c>
      <c r="K103" s="104">
        <f t="shared" ref="K103:K105" si="47">J103*H103</f>
        <v>0</v>
      </c>
      <c r="L103" s="128"/>
    </row>
    <row r="104" spans="1:12" s="17" customFormat="1" ht="47.25" x14ac:dyDescent="0.2">
      <c r="A104" s="129">
        <f>IF(F104&lt;&gt;"",1+MAX($A$7:A103),"")</f>
        <v>38</v>
      </c>
      <c r="B104" s="120" t="s">
        <v>235</v>
      </c>
      <c r="C104" s="120" t="s">
        <v>236</v>
      </c>
      <c r="D104" s="121"/>
      <c r="E104" s="122" t="s">
        <v>239</v>
      </c>
      <c r="F104" s="123">
        <f>36+1</f>
        <v>37</v>
      </c>
      <c r="G104" s="124">
        <v>0</v>
      </c>
      <c r="H104" s="125">
        <f t="shared" si="46"/>
        <v>37</v>
      </c>
      <c r="I104" s="126" t="s">
        <v>20</v>
      </c>
      <c r="J104" s="139">
        <v>0</v>
      </c>
      <c r="K104" s="104">
        <f t="shared" si="47"/>
        <v>0</v>
      </c>
      <c r="L104" s="128"/>
    </row>
    <row r="105" spans="1:12" s="17" customFormat="1" ht="47.25" x14ac:dyDescent="0.2">
      <c r="A105" s="129">
        <f>IF(F105&lt;&gt;"",1+MAX($A$7:A104),"")</f>
        <v>39</v>
      </c>
      <c r="B105" s="120" t="s">
        <v>235</v>
      </c>
      <c r="C105" s="120" t="s">
        <v>236</v>
      </c>
      <c r="D105" s="121"/>
      <c r="E105" s="122" t="s">
        <v>240</v>
      </c>
      <c r="F105" s="123">
        <v>9</v>
      </c>
      <c r="G105" s="124">
        <v>0</v>
      </c>
      <c r="H105" s="125">
        <f t="shared" si="46"/>
        <v>9</v>
      </c>
      <c r="I105" s="126" t="s">
        <v>20</v>
      </c>
      <c r="J105" s="139">
        <v>0</v>
      </c>
      <c r="K105" s="104">
        <f t="shared" si="47"/>
        <v>0</v>
      </c>
      <c r="L105" s="128"/>
    </row>
    <row r="106" spans="1:12" s="21" customFormat="1" x14ac:dyDescent="0.2">
      <c r="A106" s="129" t="str">
        <f>IF(F106&lt;&gt;"",1+MAX($A$7:A105),"")</f>
        <v/>
      </c>
      <c r="B106" s="140"/>
      <c r="C106" s="140"/>
      <c r="D106" s="141"/>
      <c r="E106" s="158" t="s">
        <v>242</v>
      </c>
      <c r="F106" s="149"/>
      <c r="G106" s="144"/>
      <c r="H106" s="143"/>
      <c r="I106" s="145"/>
      <c r="J106" s="37"/>
      <c r="K106" s="159"/>
      <c r="L106" s="160"/>
    </row>
    <row r="107" spans="1:12" s="17" customFormat="1" ht="47.25" x14ac:dyDescent="0.2">
      <c r="A107" s="129">
        <f>IF(F107&lt;&gt;"",1+MAX($A$7:A106),"")</f>
        <v>40</v>
      </c>
      <c r="B107" s="120" t="s">
        <v>235</v>
      </c>
      <c r="C107" s="120" t="s">
        <v>236</v>
      </c>
      <c r="D107" s="121"/>
      <c r="E107" s="122" t="s">
        <v>243</v>
      </c>
      <c r="F107" s="123">
        <v>1</v>
      </c>
      <c r="G107" s="124">
        <v>0</v>
      </c>
      <c r="H107" s="125">
        <f t="shared" ref="H107:H108" si="48">F107*(1+G107)</f>
        <v>1</v>
      </c>
      <c r="I107" s="126" t="s">
        <v>20</v>
      </c>
      <c r="J107" s="139">
        <v>0</v>
      </c>
      <c r="K107" s="104">
        <f t="shared" ref="K107:K108" si="49">J107*H107</f>
        <v>0</v>
      </c>
      <c r="L107" s="128"/>
    </row>
    <row r="108" spans="1:12" s="17" customFormat="1" ht="47.25" x14ac:dyDescent="0.2">
      <c r="A108" s="129">
        <f>IF(F108&lt;&gt;"",1+MAX($A$7:A107),"")</f>
        <v>41</v>
      </c>
      <c r="B108" s="120" t="s">
        <v>235</v>
      </c>
      <c r="C108" s="120" t="s">
        <v>236</v>
      </c>
      <c r="D108" s="121"/>
      <c r="E108" s="122" t="s">
        <v>244</v>
      </c>
      <c r="F108" s="123">
        <v>1</v>
      </c>
      <c r="G108" s="124">
        <v>0</v>
      </c>
      <c r="H108" s="125">
        <f t="shared" si="48"/>
        <v>1</v>
      </c>
      <c r="I108" s="126" t="s">
        <v>20</v>
      </c>
      <c r="J108" s="139">
        <v>0</v>
      </c>
      <c r="K108" s="104">
        <f t="shared" si="49"/>
        <v>0</v>
      </c>
      <c r="L108" s="128"/>
    </row>
    <row r="109" spans="1:12" s="21" customFormat="1" x14ac:dyDescent="0.2">
      <c r="A109" s="129" t="str">
        <f>IF(F109&lt;&gt;"",1+MAX($A$7:A108),"")</f>
        <v/>
      </c>
      <c r="B109" s="140"/>
      <c r="C109" s="140"/>
      <c r="D109" s="141"/>
      <c r="E109" s="158" t="s">
        <v>245</v>
      </c>
      <c r="F109" s="149"/>
      <c r="G109" s="144"/>
      <c r="H109" s="143"/>
      <c r="I109" s="145"/>
      <c r="J109" s="37"/>
      <c r="K109" s="159"/>
      <c r="L109" s="160"/>
    </row>
    <row r="110" spans="1:12" s="17" customFormat="1" ht="63" x14ac:dyDescent="0.2">
      <c r="A110" s="129">
        <f>IF(F110&lt;&gt;"",1+MAX($A$7:A109),"")</f>
        <v>42</v>
      </c>
      <c r="B110" s="120" t="s">
        <v>235</v>
      </c>
      <c r="C110" s="120" t="s">
        <v>236</v>
      </c>
      <c r="D110" s="121"/>
      <c r="E110" s="122" t="s">
        <v>250</v>
      </c>
      <c r="F110" s="123">
        <v>3</v>
      </c>
      <c r="G110" s="124">
        <v>0</v>
      </c>
      <c r="H110" s="125">
        <f t="shared" ref="H110" si="50">F110*(1+G110)</f>
        <v>3</v>
      </c>
      <c r="I110" s="126" t="s">
        <v>20</v>
      </c>
      <c r="J110" s="139">
        <v>0</v>
      </c>
      <c r="K110" s="104">
        <f t="shared" ref="K110" si="51">J110*H110</f>
        <v>0</v>
      </c>
      <c r="L110" s="128"/>
    </row>
    <row r="111" spans="1:12" s="17" customFormat="1" ht="63" x14ac:dyDescent="0.2">
      <c r="A111" s="129">
        <f>IF(F111&lt;&gt;"",1+MAX($A$7:A110),"")</f>
        <v>43</v>
      </c>
      <c r="B111" s="120" t="s">
        <v>235</v>
      </c>
      <c r="C111" s="120" t="s">
        <v>236</v>
      </c>
      <c r="D111" s="121"/>
      <c r="E111" s="122" t="s">
        <v>251</v>
      </c>
      <c r="F111" s="123">
        <v>62</v>
      </c>
      <c r="G111" s="124">
        <v>0</v>
      </c>
      <c r="H111" s="125">
        <f t="shared" ref="H111" si="52">F111*(1+G111)</f>
        <v>62</v>
      </c>
      <c r="I111" s="126" t="s">
        <v>20</v>
      </c>
      <c r="J111" s="139">
        <v>0</v>
      </c>
      <c r="K111" s="104">
        <f t="shared" ref="K111" si="53">J111*H111</f>
        <v>0</v>
      </c>
      <c r="L111" s="128"/>
    </row>
    <row r="112" spans="1:12" s="17" customFormat="1" ht="63" x14ac:dyDescent="0.2">
      <c r="A112" s="129">
        <f>IF(F112&lt;&gt;"",1+MAX($A$7:A111),"")</f>
        <v>44</v>
      </c>
      <c r="B112" s="120" t="s">
        <v>235</v>
      </c>
      <c r="C112" s="120" t="s">
        <v>236</v>
      </c>
      <c r="D112" s="121"/>
      <c r="E112" s="122" t="s">
        <v>252</v>
      </c>
      <c r="F112" s="123">
        <v>277</v>
      </c>
      <c r="G112" s="124">
        <v>0</v>
      </c>
      <c r="H112" s="125">
        <f t="shared" ref="H112:H115" si="54">F112*(1+G112)</f>
        <v>277</v>
      </c>
      <c r="I112" s="126" t="s">
        <v>20</v>
      </c>
      <c r="J112" s="139">
        <v>0</v>
      </c>
      <c r="K112" s="104">
        <f t="shared" ref="K112:K115" si="55">J112*H112</f>
        <v>0</v>
      </c>
      <c r="L112" s="128"/>
    </row>
    <row r="113" spans="1:12" s="17" customFormat="1" ht="63" x14ac:dyDescent="0.2">
      <c r="A113" s="129">
        <f>IF(F113&lt;&gt;"",1+MAX($A$7:A112),"")</f>
        <v>45</v>
      </c>
      <c r="B113" s="120" t="s">
        <v>235</v>
      </c>
      <c r="C113" s="120" t="s">
        <v>236</v>
      </c>
      <c r="D113" s="121"/>
      <c r="E113" s="122" t="s">
        <v>246</v>
      </c>
      <c r="F113" s="123">
        <v>23</v>
      </c>
      <c r="G113" s="124">
        <v>0</v>
      </c>
      <c r="H113" s="125">
        <f t="shared" ref="H113" si="56">F113*(1+G113)</f>
        <v>23</v>
      </c>
      <c r="I113" s="126" t="s">
        <v>20</v>
      </c>
      <c r="J113" s="139">
        <v>0</v>
      </c>
      <c r="K113" s="104">
        <f t="shared" ref="K113" si="57">J113*H113</f>
        <v>0</v>
      </c>
      <c r="L113" s="128"/>
    </row>
    <row r="114" spans="1:12" s="17" customFormat="1" ht="63" x14ac:dyDescent="0.2">
      <c r="A114" s="129">
        <f>IF(F114&lt;&gt;"",1+MAX($A$7:A113),"")</f>
        <v>46</v>
      </c>
      <c r="B114" s="120" t="s">
        <v>235</v>
      </c>
      <c r="C114" s="120" t="s">
        <v>236</v>
      </c>
      <c r="D114" s="162"/>
      <c r="E114" s="122" t="s">
        <v>247</v>
      </c>
      <c r="F114" s="123">
        <f>18+18</f>
        <v>36</v>
      </c>
      <c r="G114" s="124">
        <v>0</v>
      </c>
      <c r="H114" s="125">
        <f t="shared" si="54"/>
        <v>36</v>
      </c>
      <c r="I114" s="126" t="s">
        <v>20</v>
      </c>
      <c r="J114" s="139">
        <v>0</v>
      </c>
      <c r="K114" s="104">
        <f t="shared" si="55"/>
        <v>0</v>
      </c>
      <c r="L114" s="128"/>
    </row>
    <row r="115" spans="1:12" s="17" customFormat="1" ht="63" x14ac:dyDescent="0.2">
      <c r="A115" s="129">
        <f>IF(F115&lt;&gt;"",1+MAX($A$7:A114),"")</f>
        <v>47</v>
      </c>
      <c r="B115" s="120" t="s">
        <v>235</v>
      </c>
      <c r="C115" s="120" t="s">
        <v>236</v>
      </c>
      <c r="D115" s="121"/>
      <c r="E115" s="122" t="s">
        <v>248</v>
      </c>
      <c r="F115" s="123">
        <v>15</v>
      </c>
      <c r="G115" s="124">
        <v>0</v>
      </c>
      <c r="H115" s="125">
        <f t="shared" si="54"/>
        <v>15</v>
      </c>
      <c r="I115" s="126" t="s">
        <v>20</v>
      </c>
      <c r="J115" s="139">
        <v>0</v>
      </c>
      <c r="K115" s="104">
        <f t="shared" si="55"/>
        <v>0</v>
      </c>
      <c r="L115" s="128"/>
    </row>
    <row r="116" spans="1:12" s="17" customFormat="1" ht="63" x14ac:dyDescent="0.2">
      <c r="A116" s="129">
        <f>IF(F116&lt;&gt;"",1+MAX($A$7:A115),"")</f>
        <v>48</v>
      </c>
      <c r="B116" s="120" t="s">
        <v>235</v>
      </c>
      <c r="C116" s="120" t="s">
        <v>236</v>
      </c>
      <c r="D116" s="121"/>
      <c r="E116" s="122" t="s">
        <v>249</v>
      </c>
      <c r="F116" s="123">
        <v>37</v>
      </c>
      <c r="G116" s="124">
        <v>0</v>
      </c>
      <c r="H116" s="125">
        <f t="shared" ref="H116" si="58">F116*(1+G116)</f>
        <v>37</v>
      </c>
      <c r="I116" s="126" t="s">
        <v>20</v>
      </c>
      <c r="J116" s="139">
        <v>0</v>
      </c>
      <c r="K116" s="104">
        <f t="shared" ref="K116" si="59">J116*H116</f>
        <v>0</v>
      </c>
      <c r="L116" s="128"/>
    </row>
    <row r="117" spans="1:12" x14ac:dyDescent="0.2">
      <c r="A117" s="129" t="str">
        <f>IF(F117&lt;&gt;"",1+MAX($A$7:A116),"")</f>
        <v/>
      </c>
      <c r="B117" s="140"/>
      <c r="C117" s="140"/>
      <c r="D117" s="141"/>
      <c r="E117" s="142"/>
      <c r="F117" s="143"/>
      <c r="G117" s="144"/>
      <c r="H117" s="143"/>
      <c r="I117" s="145"/>
      <c r="J117" s="146"/>
      <c r="K117" s="147"/>
      <c r="L117" s="148"/>
    </row>
    <row r="118" spans="1:12" x14ac:dyDescent="0.2">
      <c r="A118" s="129" t="str">
        <f>IF(F118&lt;&gt;"",1+MAX($A$7:A117),"")</f>
        <v/>
      </c>
      <c r="B118" s="140"/>
      <c r="C118" s="140"/>
      <c r="D118" s="141"/>
      <c r="E118" s="142" t="s">
        <v>346</v>
      </c>
      <c r="F118" s="149"/>
      <c r="G118" s="144"/>
      <c r="H118" s="143"/>
      <c r="I118" s="145"/>
      <c r="J118" s="146"/>
      <c r="K118" s="105"/>
      <c r="L118" s="11">
        <f>SUM(K97:K117)</f>
        <v>0</v>
      </c>
    </row>
    <row r="119" spans="1:12" s="17" customFormat="1" ht="18.75" x14ac:dyDescent="0.2">
      <c r="A119" s="129" t="str">
        <f>IF(F119&lt;&gt;"",1+MAX($A$7:A118),"")</f>
        <v/>
      </c>
      <c r="B119" s="120"/>
      <c r="C119" s="120"/>
      <c r="D119" s="121"/>
      <c r="E119" s="122"/>
      <c r="F119" s="123"/>
      <c r="G119" s="124"/>
      <c r="H119" s="124"/>
      <c r="I119" s="124"/>
      <c r="J119" s="124"/>
      <c r="K119" s="104"/>
      <c r="L119" s="128"/>
    </row>
    <row r="120" spans="1:12" x14ac:dyDescent="0.2">
      <c r="A120" s="129" t="str">
        <f>IF(F120&lt;&gt;"",1+MAX($A$7:A119),"")</f>
        <v/>
      </c>
      <c r="B120" s="140"/>
      <c r="C120" s="140"/>
      <c r="D120" s="140"/>
      <c r="E120" s="156" t="s">
        <v>54</v>
      </c>
      <c r="F120" s="149"/>
      <c r="G120" s="144"/>
      <c r="H120" s="143"/>
      <c r="I120" s="145"/>
      <c r="J120" s="23"/>
      <c r="K120" s="157"/>
      <c r="L120" s="155"/>
    </row>
    <row r="121" spans="1:12" s="17" customFormat="1" ht="47.25" x14ac:dyDescent="0.2">
      <c r="A121" s="129">
        <f>IF(F121&lt;&gt;"",1+MAX($A$7:A120),"")</f>
        <v>49</v>
      </c>
      <c r="B121" s="120" t="s">
        <v>218</v>
      </c>
      <c r="C121" s="120" t="s">
        <v>219</v>
      </c>
      <c r="D121" s="121"/>
      <c r="E121" s="122" t="s">
        <v>222</v>
      </c>
      <c r="F121" s="123">
        <f>2.5*5*28</f>
        <v>350</v>
      </c>
      <c r="G121" s="124">
        <v>0.1</v>
      </c>
      <c r="H121" s="125">
        <f t="shared" ref="H121:H129" si="60">F121*(1+G121)</f>
        <v>385.00000000000006</v>
      </c>
      <c r="I121" s="126" t="s">
        <v>18</v>
      </c>
      <c r="J121" s="127">
        <v>0</v>
      </c>
      <c r="K121" s="104">
        <f t="shared" ref="K121:K129" si="61">J121*H121</f>
        <v>0</v>
      </c>
      <c r="L121" s="128"/>
    </row>
    <row r="122" spans="1:12" s="17" customFormat="1" ht="47.25" x14ac:dyDescent="0.2">
      <c r="A122" s="129">
        <f>IF(F122&lt;&gt;"",1+MAX($A$7:A121),"")</f>
        <v>50</v>
      </c>
      <c r="B122" s="120" t="s">
        <v>218</v>
      </c>
      <c r="C122" s="120" t="s">
        <v>219</v>
      </c>
      <c r="D122" s="121"/>
      <c r="E122" s="122" t="s">
        <v>223</v>
      </c>
      <c r="F122" s="123">
        <f>3*5*179</f>
        <v>2685</v>
      </c>
      <c r="G122" s="124">
        <v>0.1</v>
      </c>
      <c r="H122" s="125">
        <f t="shared" si="60"/>
        <v>2953.5000000000005</v>
      </c>
      <c r="I122" s="126" t="s">
        <v>18</v>
      </c>
      <c r="J122" s="139">
        <f t="shared" ref="J122:J130" si="62">J$121</f>
        <v>0</v>
      </c>
      <c r="K122" s="104">
        <f t="shared" si="61"/>
        <v>0</v>
      </c>
      <c r="L122" s="128"/>
    </row>
    <row r="123" spans="1:12" s="17" customFormat="1" ht="47.25" x14ac:dyDescent="0.2">
      <c r="A123" s="129">
        <f>IF(F123&lt;&gt;"",1+MAX($A$7:A122),"")</f>
        <v>51</v>
      </c>
      <c r="B123" s="120" t="s">
        <v>218</v>
      </c>
      <c r="C123" s="120" t="s">
        <v>219</v>
      </c>
      <c r="D123" s="121"/>
      <c r="E123" s="122" t="s">
        <v>224</v>
      </c>
      <c r="F123" s="123">
        <f>2.5*6*10</f>
        <v>150</v>
      </c>
      <c r="G123" s="124">
        <v>0.1</v>
      </c>
      <c r="H123" s="125">
        <f t="shared" ref="H123" si="63">F123*(1+G123)</f>
        <v>165</v>
      </c>
      <c r="I123" s="126" t="s">
        <v>18</v>
      </c>
      <c r="J123" s="139">
        <f t="shared" si="62"/>
        <v>0</v>
      </c>
      <c r="K123" s="104">
        <f t="shared" ref="K123" si="64">J123*H123</f>
        <v>0</v>
      </c>
      <c r="L123" s="128"/>
    </row>
    <row r="124" spans="1:12" s="17" customFormat="1" ht="47.25" x14ac:dyDescent="0.2">
      <c r="A124" s="129">
        <f>IF(F124&lt;&gt;"",1+MAX($A$7:A123),"")</f>
        <v>52</v>
      </c>
      <c r="B124" s="120" t="s">
        <v>218</v>
      </c>
      <c r="C124" s="120" t="s">
        <v>219</v>
      </c>
      <c r="D124" s="121"/>
      <c r="E124" s="122" t="s">
        <v>225</v>
      </c>
      <c r="F124" s="123">
        <f>2*2.5*4</f>
        <v>20</v>
      </c>
      <c r="G124" s="124">
        <v>0.1</v>
      </c>
      <c r="H124" s="125">
        <f t="shared" si="60"/>
        <v>22</v>
      </c>
      <c r="I124" s="126" t="s">
        <v>18</v>
      </c>
      <c r="J124" s="139">
        <f t="shared" si="62"/>
        <v>0</v>
      </c>
      <c r="K124" s="104">
        <f t="shared" si="61"/>
        <v>0</v>
      </c>
      <c r="L124" s="128"/>
    </row>
    <row r="125" spans="1:12" s="17" customFormat="1" ht="47.25" x14ac:dyDescent="0.2">
      <c r="A125" s="129">
        <f>IF(F125&lt;&gt;"",1+MAX($A$7:A124),"")</f>
        <v>53</v>
      </c>
      <c r="B125" s="120" t="s">
        <v>218</v>
      </c>
      <c r="C125" s="120" t="s">
        <v>219</v>
      </c>
      <c r="D125" s="121"/>
      <c r="E125" s="122" t="s">
        <v>226</v>
      </c>
      <c r="F125" s="123">
        <f>4.167*5*8</f>
        <v>166.68</v>
      </c>
      <c r="G125" s="124">
        <v>0.1</v>
      </c>
      <c r="H125" s="125">
        <f t="shared" si="60"/>
        <v>183.34800000000001</v>
      </c>
      <c r="I125" s="126" t="s">
        <v>18</v>
      </c>
      <c r="J125" s="139">
        <f t="shared" si="62"/>
        <v>0</v>
      </c>
      <c r="K125" s="104">
        <f t="shared" si="61"/>
        <v>0</v>
      </c>
      <c r="L125" s="128"/>
    </row>
    <row r="126" spans="1:12" s="17" customFormat="1" ht="47.25" x14ac:dyDescent="0.2">
      <c r="A126" s="129">
        <f>IF(F126&lt;&gt;"",1+MAX($A$7:A125),"")</f>
        <v>54</v>
      </c>
      <c r="B126" s="120" t="s">
        <v>218</v>
      </c>
      <c r="C126" s="120" t="s">
        <v>219</v>
      </c>
      <c r="D126" s="121"/>
      <c r="E126" s="122" t="s">
        <v>227</v>
      </c>
      <c r="F126" s="123">
        <f>6*4.58*21</f>
        <v>577.08000000000004</v>
      </c>
      <c r="G126" s="124">
        <v>0.1</v>
      </c>
      <c r="H126" s="125">
        <f t="shared" si="60"/>
        <v>634.78800000000012</v>
      </c>
      <c r="I126" s="126" t="s">
        <v>18</v>
      </c>
      <c r="J126" s="139">
        <f t="shared" si="62"/>
        <v>0</v>
      </c>
      <c r="K126" s="104">
        <f t="shared" si="61"/>
        <v>0</v>
      </c>
      <c r="L126" s="128"/>
    </row>
    <row r="127" spans="1:12" s="17" customFormat="1" ht="47.25" x14ac:dyDescent="0.2">
      <c r="A127" s="129">
        <f>IF(F127&lt;&gt;"",1+MAX($A$7:A126),"")</f>
        <v>55</v>
      </c>
      <c r="B127" s="120" t="s">
        <v>218</v>
      </c>
      <c r="C127" s="120" t="s">
        <v>219</v>
      </c>
      <c r="D127" s="121"/>
      <c r="E127" s="122" t="s">
        <v>228</v>
      </c>
      <c r="F127" s="123">
        <f>5*6*17</f>
        <v>510</v>
      </c>
      <c r="G127" s="124">
        <v>0.1</v>
      </c>
      <c r="H127" s="125">
        <f t="shared" si="60"/>
        <v>561</v>
      </c>
      <c r="I127" s="126" t="s">
        <v>18</v>
      </c>
      <c r="J127" s="139">
        <f t="shared" si="62"/>
        <v>0</v>
      </c>
      <c r="K127" s="104">
        <f t="shared" si="61"/>
        <v>0</v>
      </c>
      <c r="L127" s="128"/>
    </row>
    <row r="128" spans="1:12" s="17" customFormat="1" ht="47.25" x14ac:dyDescent="0.2">
      <c r="A128" s="129">
        <f>IF(F128&lt;&gt;"",1+MAX($A$7:A127),"")</f>
        <v>56</v>
      </c>
      <c r="B128" s="120" t="s">
        <v>218</v>
      </c>
      <c r="C128" s="120" t="s">
        <v>219</v>
      </c>
      <c r="D128" s="121"/>
      <c r="E128" s="122" t="s">
        <v>229</v>
      </c>
      <c r="F128" s="123">
        <f>6*6*15</f>
        <v>540</v>
      </c>
      <c r="G128" s="124">
        <v>0.1</v>
      </c>
      <c r="H128" s="125">
        <f t="shared" si="60"/>
        <v>594</v>
      </c>
      <c r="I128" s="126" t="s">
        <v>18</v>
      </c>
      <c r="J128" s="139">
        <f t="shared" si="62"/>
        <v>0</v>
      </c>
      <c r="K128" s="104">
        <f t="shared" si="61"/>
        <v>0</v>
      </c>
      <c r="L128" s="128"/>
    </row>
    <row r="129" spans="1:12" s="17" customFormat="1" ht="47.25" x14ac:dyDescent="0.2">
      <c r="A129" s="129">
        <f>IF(F129&lt;&gt;"",1+MAX($A$7:A128),"")</f>
        <v>57</v>
      </c>
      <c r="B129" s="120" t="s">
        <v>218</v>
      </c>
      <c r="C129" s="120" t="s">
        <v>219</v>
      </c>
      <c r="D129" s="121"/>
      <c r="E129" s="122" t="s">
        <v>230</v>
      </c>
      <c r="F129" s="123">
        <f>6*7.5*4</f>
        <v>180</v>
      </c>
      <c r="G129" s="124">
        <v>0.1</v>
      </c>
      <c r="H129" s="125">
        <f t="shared" si="60"/>
        <v>198.00000000000003</v>
      </c>
      <c r="I129" s="126" t="s">
        <v>18</v>
      </c>
      <c r="J129" s="139">
        <f t="shared" si="62"/>
        <v>0</v>
      </c>
      <c r="K129" s="104">
        <f t="shared" si="61"/>
        <v>0</v>
      </c>
      <c r="L129" s="128"/>
    </row>
    <row r="130" spans="1:12" s="17" customFormat="1" ht="47.25" x14ac:dyDescent="0.2">
      <c r="A130" s="129">
        <f>IF(F130&lt;&gt;"",1+MAX($A$7:A129),"")</f>
        <v>58</v>
      </c>
      <c r="B130" s="120" t="s">
        <v>218</v>
      </c>
      <c r="C130" s="120" t="s">
        <v>219</v>
      </c>
      <c r="D130" s="121"/>
      <c r="E130" s="122" t="s">
        <v>231</v>
      </c>
      <c r="F130" s="123">
        <f>2.5*2.59</f>
        <v>6.4749999999999996</v>
      </c>
      <c r="G130" s="124">
        <v>0.1</v>
      </c>
      <c r="H130" s="125">
        <f t="shared" ref="H130" si="65">F130*(1+G130)</f>
        <v>7.1225000000000005</v>
      </c>
      <c r="I130" s="126" t="s">
        <v>18</v>
      </c>
      <c r="J130" s="139">
        <f t="shared" si="62"/>
        <v>0</v>
      </c>
      <c r="K130" s="104">
        <f t="shared" ref="K130" si="66">J130*H130</f>
        <v>0</v>
      </c>
      <c r="L130" s="128"/>
    </row>
    <row r="131" spans="1:12" x14ac:dyDescent="0.2">
      <c r="A131" s="129" t="str">
        <f>IF(F131&lt;&gt;"",1+MAX($A$7:A130),"")</f>
        <v/>
      </c>
      <c r="B131" s="140"/>
      <c r="C131" s="140"/>
      <c r="D131" s="141"/>
      <c r="E131" s="142"/>
      <c r="F131" s="143"/>
      <c r="G131" s="144"/>
      <c r="H131" s="143"/>
      <c r="I131" s="145"/>
      <c r="J131" s="146"/>
      <c r="K131" s="147"/>
      <c r="L131" s="148"/>
    </row>
    <row r="132" spans="1:12" x14ac:dyDescent="0.2">
      <c r="A132" s="129" t="str">
        <f>IF(F132&lt;&gt;"",1+MAX($A$7:A131),"")</f>
        <v/>
      </c>
      <c r="B132" s="140"/>
      <c r="C132" s="140"/>
      <c r="D132" s="141"/>
      <c r="E132" s="142" t="s">
        <v>348</v>
      </c>
      <c r="F132" s="149"/>
      <c r="G132" s="144"/>
      <c r="H132" s="143"/>
      <c r="I132" s="145"/>
      <c r="J132" s="146"/>
      <c r="K132" s="105"/>
      <c r="L132" s="11">
        <f>SUM(K120:K131)</f>
        <v>0</v>
      </c>
    </row>
    <row r="133" spans="1:12" s="17" customFormat="1" ht="18.75" x14ac:dyDescent="0.2">
      <c r="A133" s="129" t="str">
        <f>IF(F133&lt;&gt;"",1+MAX($A$7:A132),"")</f>
        <v/>
      </c>
      <c r="B133" s="120"/>
      <c r="C133" s="120"/>
      <c r="D133" s="121"/>
      <c r="E133" s="122"/>
      <c r="F133" s="123"/>
      <c r="G133" s="124"/>
      <c r="H133" s="124"/>
      <c r="I133" s="124"/>
      <c r="J133" s="124"/>
      <c r="K133" s="104"/>
      <c r="L133" s="128"/>
    </row>
    <row r="134" spans="1:12" x14ac:dyDescent="0.2">
      <c r="A134" s="129" t="str">
        <f>IF(F134&lt;&gt;"",1+MAX($A$7:A133),"")</f>
        <v/>
      </c>
      <c r="B134" s="140"/>
      <c r="C134" s="140"/>
      <c r="D134" s="140"/>
      <c r="E134" s="156" t="s">
        <v>220</v>
      </c>
      <c r="F134" s="149"/>
      <c r="G134" s="144"/>
      <c r="H134" s="143"/>
      <c r="I134" s="145"/>
      <c r="J134" s="23"/>
      <c r="K134" s="157"/>
      <c r="L134" s="155"/>
    </row>
    <row r="135" spans="1:12" s="17" customFormat="1" ht="31.5" x14ac:dyDescent="0.2">
      <c r="A135" s="129">
        <f>IF(F135&lt;&gt;"",1+MAX($A$7:A134),"")</f>
        <v>59</v>
      </c>
      <c r="B135" s="120" t="s">
        <v>221</v>
      </c>
      <c r="C135" s="120"/>
      <c r="D135" s="121"/>
      <c r="E135" s="122" t="s">
        <v>232</v>
      </c>
      <c r="F135" s="123">
        <v>459.2</v>
      </c>
      <c r="G135" s="124">
        <v>0.1</v>
      </c>
      <c r="H135" s="125">
        <f t="shared" ref="H135" si="67">F135*(1+G135)</f>
        <v>505.12</v>
      </c>
      <c r="I135" s="126" t="s">
        <v>18</v>
      </c>
      <c r="J135" s="139">
        <f t="shared" ref="J135" si="68">J$121</f>
        <v>0</v>
      </c>
      <c r="K135" s="104">
        <f t="shared" ref="K135" si="69">J135*H135</f>
        <v>0</v>
      </c>
      <c r="L135" s="128"/>
    </row>
    <row r="136" spans="1:12" x14ac:dyDescent="0.2">
      <c r="A136" s="129" t="str">
        <f>IF(F136&lt;&gt;"",1+MAX($A$7:A135),"")</f>
        <v/>
      </c>
      <c r="B136" s="140"/>
      <c r="C136" s="140"/>
      <c r="D136" s="141"/>
      <c r="E136" s="142"/>
      <c r="F136" s="143"/>
      <c r="G136" s="144"/>
      <c r="H136" s="143"/>
      <c r="I136" s="145"/>
      <c r="J136" s="146"/>
      <c r="K136" s="147"/>
      <c r="L136" s="148"/>
    </row>
    <row r="137" spans="1:12" x14ac:dyDescent="0.2">
      <c r="A137" s="129" t="str">
        <f>IF(F137&lt;&gt;"",1+MAX($A$7:A136),"")</f>
        <v/>
      </c>
      <c r="B137" s="140"/>
      <c r="C137" s="140"/>
      <c r="D137" s="141"/>
      <c r="E137" s="142" t="s">
        <v>347</v>
      </c>
      <c r="F137" s="149"/>
      <c r="G137" s="144"/>
      <c r="H137" s="143"/>
      <c r="I137" s="145"/>
      <c r="J137" s="146"/>
      <c r="K137" s="105"/>
      <c r="L137" s="11">
        <f>SUM(K134:K136)</f>
        <v>0</v>
      </c>
    </row>
    <row r="138" spans="1:12" s="6" customFormat="1" x14ac:dyDescent="0.2">
      <c r="A138" s="129" t="str">
        <f>IF(F138&lt;&gt;"",1+MAX($A$7:A137),"")</f>
        <v/>
      </c>
      <c r="B138" s="140"/>
      <c r="C138" s="140"/>
      <c r="D138" s="140"/>
      <c r="E138" s="163"/>
      <c r="F138" s="149"/>
      <c r="G138" s="144"/>
      <c r="H138" s="143"/>
      <c r="I138" s="145"/>
      <c r="J138" s="24"/>
      <c r="K138" s="147"/>
      <c r="L138" s="155"/>
    </row>
    <row r="139" spans="1:12" s="6" customFormat="1" x14ac:dyDescent="0.2">
      <c r="A139" s="129" t="str">
        <f>IF(F139&lt;&gt;"",1+MAX($A$7:A138),"")</f>
        <v/>
      </c>
      <c r="B139" s="150"/>
      <c r="C139" s="151"/>
      <c r="D139" s="151" t="s">
        <v>21</v>
      </c>
      <c r="E139" s="152" t="s">
        <v>22</v>
      </c>
      <c r="F139" s="149"/>
      <c r="G139" s="153"/>
      <c r="H139" s="153"/>
      <c r="I139" s="153"/>
      <c r="J139" s="154"/>
      <c r="K139" s="153"/>
      <c r="L139" s="155"/>
    </row>
    <row r="140" spans="1:12" x14ac:dyDescent="0.2">
      <c r="A140" s="129" t="str">
        <f>IF(F140&lt;&gt;"",1+MAX($A$7:A139),"")</f>
        <v/>
      </c>
      <c r="B140" s="140"/>
      <c r="C140" s="140"/>
      <c r="D140" s="140"/>
      <c r="E140" s="156" t="s">
        <v>50</v>
      </c>
      <c r="F140" s="149"/>
      <c r="G140" s="144"/>
      <c r="H140" s="143"/>
      <c r="I140" s="145"/>
      <c r="J140" s="23"/>
      <c r="K140" s="157"/>
      <c r="L140" s="155"/>
    </row>
    <row r="141" spans="1:12" s="21" customFormat="1" x14ac:dyDescent="0.2">
      <c r="A141" s="129" t="str">
        <f>IF(F141&lt;&gt;"",1+MAX($A$7:A140),"")</f>
        <v/>
      </c>
      <c r="B141" s="140"/>
      <c r="C141" s="140"/>
      <c r="D141" s="141"/>
      <c r="E141" s="164" t="s">
        <v>191</v>
      </c>
      <c r="F141" s="149"/>
      <c r="G141" s="144"/>
      <c r="H141" s="143"/>
      <c r="I141" s="145"/>
      <c r="J141" s="37"/>
      <c r="K141" s="159"/>
      <c r="L141" s="160"/>
    </row>
    <row r="142" spans="1:12" s="21" customFormat="1" x14ac:dyDescent="0.2">
      <c r="A142" s="129" t="str">
        <f>IF(F142&lt;&gt;"",1+MAX($A$7:A141),"")</f>
        <v/>
      </c>
      <c r="B142" s="140"/>
      <c r="C142" s="140"/>
      <c r="D142" s="141"/>
      <c r="E142" s="158" t="s">
        <v>144</v>
      </c>
      <c r="F142" s="149"/>
      <c r="G142" s="144"/>
      <c r="H142" s="143"/>
      <c r="I142" s="145"/>
      <c r="J142" s="37"/>
      <c r="K142" s="159"/>
      <c r="L142" s="160"/>
    </row>
    <row r="143" spans="1:12" s="21" customFormat="1" ht="31.5" x14ac:dyDescent="0.2">
      <c r="A143" s="129">
        <f>IF(F143&lt;&gt;"",1+MAX($A$7:A142),"")</f>
        <v>60</v>
      </c>
      <c r="B143" s="140" t="s">
        <v>105</v>
      </c>
      <c r="C143" s="140" t="s">
        <v>104</v>
      </c>
      <c r="D143" s="149"/>
      <c r="E143" s="163" t="s">
        <v>65</v>
      </c>
      <c r="F143" s="149">
        <f>13.3*10*2*2</f>
        <v>532</v>
      </c>
      <c r="G143" s="124">
        <v>0.1</v>
      </c>
      <c r="H143" s="143">
        <f>F143*(1+G143)</f>
        <v>585.20000000000005</v>
      </c>
      <c r="I143" s="145" t="s">
        <v>18</v>
      </c>
      <c r="J143" s="127">
        <v>0</v>
      </c>
      <c r="K143" s="159">
        <f>J143*H143</f>
        <v>0</v>
      </c>
      <c r="L143" s="160"/>
    </row>
    <row r="144" spans="1:12" s="21" customFormat="1" x14ac:dyDescent="0.2">
      <c r="A144" s="129" t="str">
        <f>IF(F144&lt;&gt;"",1+MAX($A$7:A143),"")</f>
        <v/>
      </c>
      <c r="B144" s="140"/>
      <c r="C144" s="140"/>
      <c r="D144" s="141"/>
      <c r="E144" s="165" t="s">
        <v>41</v>
      </c>
      <c r="F144" s="166"/>
      <c r="G144" s="167"/>
      <c r="H144" s="143">
        <f>ROUNDUP((H143)/32,0)</f>
        <v>19</v>
      </c>
      <c r="I144" s="145" t="s">
        <v>42</v>
      </c>
      <c r="J144" s="37"/>
      <c r="K144" s="159"/>
      <c r="L144" s="160"/>
    </row>
    <row r="145" spans="1:12" s="21" customFormat="1" x14ac:dyDescent="0.2">
      <c r="A145" s="129" t="str">
        <f>IF(F145&lt;&gt;"",1+MAX($A$7:A144),"")</f>
        <v/>
      </c>
      <c r="B145" s="140"/>
      <c r="C145" s="140"/>
      <c r="D145" s="141"/>
      <c r="E145" s="165" t="s">
        <v>43</v>
      </c>
      <c r="F145" s="166"/>
      <c r="G145" s="167"/>
      <c r="H145" s="143">
        <f>ROUNDUP(H144*24/500,0)</f>
        <v>1</v>
      </c>
      <c r="I145" s="145" t="s">
        <v>44</v>
      </c>
      <c r="J145" s="37"/>
      <c r="K145" s="159"/>
      <c r="L145" s="160"/>
    </row>
    <row r="146" spans="1:12" s="21" customFormat="1" x14ac:dyDescent="0.2">
      <c r="A146" s="129" t="str">
        <f>IF(F146&lt;&gt;"",1+MAX($A$7:A145),"")</f>
        <v/>
      </c>
      <c r="B146" s="140"/>
      <c r="C146" s="140"/>
      <c r="D146" s="141"/>
      <c r="E146" s="165" t="s">
        <v>45</v>
      </c>
      <c r="F146" s="166"/>
      <c r="G146" s="167"/>
      <c r="H146" s="168">
        <f>ROUNDUP((H143)/200,0)</f>
        <v>3</v>
      </c>
      <c r="I146" s="145" t="s">
        <v>46</v>
      </c>
      <c r="J146" s="37"/>
      <c r="K146" s="159"/>
      <c r="L146" s="160"/>
    </row>
    <row r="147" spans="1:12" s="21" customFormat="1" x14ac:dyDescent="0.2">
      <c r="A147" s="129" t="str">
        <f>IF(F147&lt;&gt;"",1+MAX($A$7:A146),"")</f>
        <v/>
      </c>
      <c r="B147" s="140"/>
      <c r="C147" s="140"/>
      <c r="D147" s="141"/>
      <c r="E147" s="165" t="s">
        <v>47</v>
      </c>
      <c r="F147" s="166"/>
      <c r="G147" s="167"/>
      <c r="H147" s="168">
        <f>ROUNDUP((H143)*5.25/1000,0)</f>
        <v>4</v>
      </c>
      <c r="I147" s="145" t="s">
        <v>48</v>
      </c>
      <c r="J147" s="37"/>
      <c r="K147" s="159"/>
      <c r="L147" s="160"/>
    </row>
    <row r="148" spans="1:12" s="21" customFormat="1" x14ac:dyDescent="0.2">
      <c r="A148" s="129">
        <f>IF(F148&lt;&gt;"",1+MAX($A$7:A147),"")</f>
        <v>61</v>
      </c>
      <c r="B148" s="140" t="s">
        <v>105</v>
      </c>
      <c r="C148" s="140" t="s">
        <v>104</v>
      </c>
      <c r="D148" s="141"/>
      <c r="E148" s="163" t="s">
        <v>102</v>
      </c>
      <c r="F148" s="149">
        <f>13.3*4</f>
        <v>53.2</v>
      </c>
      <c r="G148" s="124">
        <v>0.1</v>
      </c>
      <c r="H148" s="143">
        <f>F148*(1+G148)</f>
        <v>58.52000000000001</v>
      </c>
      <c r="I148" s="145" t="s">
        <v>15</v>
      </c>
      <c r="J148" s="127">
        <v>0</v>
      </c>
      <c r="K148" s="159">
        <f>J148*H148</f>
        <v>0</v>
      </c>
      <c r="L148" s="160"/>
    </row>
    <row r="149" spans="1:12" s="21" customFormat="1" x14ac:dyDescent="0.2">
      <c r="A149" s="129">
        <f>IF(F149&lt;&gt;"",1+MAX($A$7:A148),"")</f>
        <v>62</v>
      </c>
      <c r="B149" s="140" t="s">
        <v>105</v>
      </c>
      <c r="C149" s="140" t="s">
        <v>104</v>
      </c>
      <c r="D149" s="149"/>
      <c r="E149" s="163" t="s">
        <v>126</v>
      </c>
      <c r="F149" s="149">
        <f>13.3*10</f>
        <v>133</v>
      </c>
      <c r="G149" s="124">
        <v>0.1</v>
      </c>
      <c r="H149" s="143">
        <f>F149*(1+G149)</f>
        <v>146.30000000000001</v>
      </c>
      <c r="I149" s="145" t="s">
        <v>18</v>
      </c>
      <c r="J149" s="127">
        <v>0</v>
      </c>
      <c r="K149" s="159">
        <f>J149*H149</f>
        <v>0</v>
      </c>
      <c r="L149" s="160"/>
    </row>
    <row r="150" spans="1:12" s="21" customFormat="1" x14ac:dyDescent="0.2">
      <c r="A150" s="129" t="str">
        <f>IF(F150&lt;&gt;"",1+MAX($A$7:A149),"")</f>
        <v/>
      </c>
      <c r="B150" s="140"/>
      <c r="C150" s="140"/>
      <c r="D150" s="141"/>
      <c r="E150" s="165" t="s">
        <v>49</v>
      </c>
      <c r="F150" s="149"/>
      <c r="G150" s="124"/>
      <c r="H150" s="143">
        <f>(13.3/1.167+1)</f>
        <v>12.396743787489289</v>
      </c>
      <c r="I150" s="145" t="s">
        <v>20</v>
      </c>
      <c r="J150" s="37"/>
      <c r="K150" s="159"/>
      <c r="L150" s="160"/>
    </row>
    <row r="151" spans="1:12" s="21" customFormat="1" x14ac:dyDescent="0.2">
      <c r="A151" s="129">
        <f>IF(F151&lt;&gt;"",1+MAX($A$7:A150),"")</f>
        <v>63</v>
      </c>
      <c r="B151" s="140" t="s">
        <v>105</v>
      </c>
      <c r="C151" s="140" t="s">
        <v>104</v>
      </c>
      <c r="D151" s="141"/>
      <c r="E151" s="163" t="s">
        <v>127</v>
      </c>
      <c r="F151" s="149">
        <f>13.3*2</f>
        <v>26.6</v>
      </c>
      <c r="G151" s="124">
        <v>0.1</v>
      </c>
      <c r="H151" s="143">
        <f>F151*(1+G151)</f>
        <v>29.260000000000005</v>
      </c>
      <c r="I151" s="145" t="s">
        <v>15</v>
      </c>
      <c r="J151" s="127">
        <v>0</v>
      </c>
      <c r="K151" s="159">
        <f>J151*H151</f>
        <v>0</v>
      </c>
      <c r="L151" s="160"/>
    </row>
    <row r="152" spans="1:12" s="21" customFormat="1" x14ac:dyDescent="0.2">
      <c r="A152" s="129" t="str">
        <f>IF(F152&lt;&gt;"",1+MAX($A$7:A151),"")</f>
        <v/>
      </c>
      <c r="B152" s="140"/>
      <c r="C152" s="140"/>
      <c r="D152" s="141"/>
      <c r="E152" s="163"/>
      <c r="F152" s="149"/>
      <c r="G152" s="124"/>
      <c r="H152" s="143"/>
      <c r="I152" s="145"/>
      <c r="J152" s="37"/>
      <c r="K152" s="159"/>
      <c r="L152" s="160"/>
    </row>
    <row r="153" spans="1:12" s="21" customFormat="1" x14ac:dyDescent="0.2">
      <c r="A153" s="129" t="str">
        <f>IF(F153&lt;&gt;"",1+MAX($A$7:A152),"")</f>
        <v/>
      </c>
      <c r="B153" s="140"/>
      <c r="C153" s="140"/>
      <c r="D153" s="141"/>
      <c r="E153" s="164" t="s">
        <v>55</v>
      </c>
      <c r="F153" s="149"/>
      <c r="G153" s="144"/>
      <c r="H153" s="143"/>
      <c r="I153" s="145"/>
      <c r="J153" s="37"/>
      <c r="K153" s="159"/>
      <c r="L153" s="160"/>
    </row>
    <row r="154" spans="1:12" s="21" customFormat="1" x14ac:dyDescent="0.2">
      <c r="A154" s="129" t="str">
        <f>IF(F154&lt;&gt;"",1+MAX($A$7:A153),"")</f>
        <v/>
      </c>
      <c r="B154" s="140"/>
      <c r="C154" s="140"/>
      <c r="D154" s="141"/>
      <c r="E154" s="158" t="s">
        <v>103</v>
      </c>
      <c r="F154" s="149"/>
      <c r="G154" s="144"/>
      <c r="H154" s="143"/>
      <c r="I154" s="145"/>
      <c r="J154" s="37"/>
      <c r="K154" s="159"/>
      <c r="L154" s="160"/>
    </row>
    <row r="155" spans="1:12" s="21" customFormat="1" x14ac:dyDescent="0.2">
      <c r="A155" s="129">
        <f>IF(F155&lt;&gt;"",1+MAX($A$7:A154),"")</f>
        <v>64</v>
      </c>
      <c r="B155" s="140" t="s">
        <v>105</v>
      </c>
      <c r="C155" s="140" t="s">
        <v>104</v>
      </c>
      <c r="D155" s="149"/>
      <c r="E155" s="163" t="s">
        <v>100</v>
      </c>
      <c r="F155" s="149">
        <f>64.6*9.75*2+20*9.75</f>
        <v>1454.6999999999998</v>
      </c>
      <c r="G155" s="124">
        <v>0.1</v>
      </c>
      <c r="H155" s="143">
        <f>F155*(1+G155)</f>
        <v>1600.1699999999998</v>
      </c>
      <c r="I155" s="145" t="s">
        <v>18</v>
      </c>
      <c r="J155" s="37">
        <f>J$143</f>
        <v>0</v>
      </c>
      <c r="K155" s="159">
        <f>J155*H155</f>
        <v>0</v>
      </c>
      <c r="L155" s="160"/>
    </row>
    <row r="156" spans="1:12" s="21" customFormat="1" x14ac:dyDescent="0.2">
      <c r="A156" s="129" t="str">
        <f>IF(F156&lt;&gt;"",1+MAX($A$7:A155),"")</f>
        <v/>
      </c>
      <c r="B156" s="140"/>
      <c r="C156" s="140"/>
      <c r="D156" s="141"/>
      <c r="E156" s="165" t="s">
        <v>41</v>
      </c>
      <c r="F156" s="166"/>
      <c r="G156" s="167"/>
      <c r="H156" s="143">
        <f>ROUNDUP((H155)/32,0)</f>
        <v>51</v>
      </c>
      <c r="I156" s="145" t="s">
        <v>42</v>
      </c>
      <c r="J156" s="37"/>
      <c r="K156" s="159"/>
      <c r="L156" s="160"/>
    </row>
    <row r="157" spans="1:12" s="21" customFormat="1" x14ac:dyDescent="0.2">
      <c r="A157" s="129" t="str">
        <f>IF(F157&lt;&gt;"",1+MAX($A$7:A156),"")</f>
        <v/>
      </c>
      <c r="B157" s="140"/>
      <c r="C157" s="140"/>
      <c r="D157" s="141"/>
      <c r="E157" s="165" t="s">
        <v>43</v>
      </c>
      <c r="F157" s="166"/>
      <c r="G157" s="167"/>
      <c r="H157" s="143">
        <f>ROUNDUP(H156*24/500,0)</f>
        <v>3</v>
      </c>
      <c r="I157" s="145" t="s">
        <v>44</v>
      </c>
      <c r="J157" s="37"/>
      <c r="K157" s="159"/>
      <c r="L157" s="160"/>
    </row>
    <row r="158" spans="1:12" s="21" customFormat="1" x14ac:dyDescent="0.2">
      <c r="A158" s="129" t="str">
        <f>IF(F158&lt;&gt;"",1+MAX($A$7:A157),"")</f>
        <v/>
      </c>
      <c r="B158" s="140"/>
      <c r="C158" s="140"/>
      <c r="D158" s="141"/>
      <c r="E158" s="165" t="s">
        <v>45</v>
      </c>
      <c r="F158" s="166"/>
      <c r="G158" s="167"/>
      <c r="H158" s="168">
        <f>ROUNDUP((H155)/200,0)</f>
        <v>9</v>
      </c>
      <c r="I158" s="145" t="s">
        <v>46</v>
      </c>
      <c r="J158" s="37"/>
      <c r="K158" s="159"/>
      <c r="L158" s="160"/>
    </row>
    <row r="159" spans="1:12" s="21" customFormat="1" x14ac:dyDescent="0.2">
      <c r="A159" s="129" t="str">
        <f>IF(F159&lt;&gt;"",1+MAX($A$7:A158),"")</f>
        <v/>
      </c>
      <c r="B159" s="140"/>
      <c r="C159" s="140"/>
      <c r="D159" s="141"/>
      <c r="E159" s="165" t="s">
        <v>47</v>
      </c>
      <c r="F159" s="166"/>
      <c r="G159" s="167"/>
      <c r="H159" s="168">
        <f>ROUNDUP((H155)*5.25/1000,0)</f>
        <v>9</v>
      </c>
      <c r="I159" s="145" t="s">
        <v>48</v>
      </c>
      <c r="J159" s="37"/>
      <c r="K159" s="159"/>
      <c r="L159" s="160"/>
    </row>
    <row r="160" spans="1:12" s="21" customFormat="1" x14ac:dyDescent="0.2">
      <c r="A160" s="129">
        <f>IF(F160&lt;&gt;"",1+MAX($A$7:A159),"")</f>
        <v>65</v>
      </c>
      <c r="B160" s="140" t="s">
        <v>105</v>
      </c>
      <c r="C160" s="140" t="s">
        <v>104</v>
      </c>
      <c r="D160" s="149"/>
      <c r="E160" s="163" t="s">
        <v>101</v>
      </c>
      <c r="F160" s="149">
        <f>20*9.75</f>
        <v>195</v>
      </c>
      <c r="G160" s="124">
        <v>0.1</v>
      </c>
      <c r="H160" s="143">
        <f>F160*(1+G160)</f>
        <v>214.50000000000003</v>
      </c>
      <c r="I160" s="145" t="s">
        <v>18</v>
      </c>
      <c r="J160" s="127">
        <v>0</v>
      </c>
      <c r="K160" s="159">
        <f>J160*H160</f>
        <v>0</v>
      </c>
      <c r="L160" s="160"/>
    </row>
    <row r="161" spans="1:12" s="21" customFormat="1" x14ac:dyDescent="0.2">
      <c r="A161" s="129" t="str">
        <f>IF(F161&lt;&gt;"",1+MAX($A$7:A160),"")</f>
        <v/>
      </c>
      <c r="B161" s="140"/>
      <c r="C161" s="140"/>
      <c r="D161" s="141"/>
      <c r="E161" s="165" t="s">
        <v>41</v>
      </c>
      <c r="F161" s="166"/>
      <c r="G161" s="167"/>
      <c r="H161" s="143">
        <f>ROUNDUP((H160)/32,0)</f>
        <v>7</v>
      </c>
      <c r="I161" s="145" t="s">
        <v>42</v>
      </c>
      <c r="J161" s="37"/>
      <c r="K161" s="159"/>
      <c r="L161" s="160"/>
    </row>
    <row r="162" spans="1:12" s="21" customFormat="1" x14ac:dyDescent="0.2">
      <c r="A162" s="129" t="str">
        <f>IF(F162&lt;&gt;"",1+MAX($A$7:A161),"")</f>
        <v/>
      </c>
      <c r="B162" s="140"/>
      <c r="C162" s="140"/>
      <c r="D162" s="141"/>
      <c r="E162" s="165" t="s">
        <v>43</v>
      </c>
      <c r="F162" s="166"/>
      <c r="G162" s="167"/>
      <c r="H162" s="143">
        <f>ROUNDUP(H161*24/500,0)</f>
        <v>1</v>
      </c>
      <c r="I162" s="145" t="s">
        <v>44</v>
      </c>
      <c r="J162" s="37"/>
      <c r="K162" s="159"/>
      <c r="L162" s="160"/>
    </row>
    <row r="163" spans="1:12" s="21" customFormat="1" x14ac:dyDescent="0.2">
      <c r="A163" s="129" t="str">
        <f>IF(F163&lt;&gt;"",1+MAX($A$7:A162),"")</f>
        <v/>
      </c>
      <c r="B163" s="140"/>
      <c r="C163" s="140"/>
      <c r="D163" s="141"/>
      <c r="E163" s="165" t="s">
        <v>45</v>
      </c>
      <c r="F163" s="166"/>
      <c r="G163" s="167"/>
      <c r="H163" s="168">
        <f>ROUNDUP((H160)/200,0)</f>
        <v>2</v>
      </c>
      <c r="I163" s="145" t="s">
        <v>46</v>
      </c>
      <c r="J163" s="37"/>
      <c r="K163" s="159"/>
      <c r="L163" s="160"/>
    </row>
    <row r="164" spans="1:12" s="21" customFormat="1" x14ac:dyDescent="0.2">
      <c r="A164" s="129" t="str">
        <f>IF(F164&lt;&gt;"",1+MAX($A$7:A163),"")</f>
        <v/>
      </c>
      <c r="B164" s="140"/>
      <c r="C164" s="140"/>
      <c r="D164" s="141"/>
      <c r="E164" s="165" t="s">
        <v>47</v>
      </c>
      <c r="F164" s="166"/>
      <c r="G164" s="167"/>
      <c r="H164" s="168">
        <f>ROUNDUP((H160)*5.25/1000,0)</f>
        <v>2</v>
      </c>
      <c r="I164" s="145" t="s">
        <v>48</v>
      </c>
      <c r="J164" s="37"/>
      <c r="K164" s="159"/>
      <c r="L164" s="160"/>
    </row>
    <row r="165" spans="1:12" s="21" customFormat="1" x14ac:dyDescent="0.2">
      <c r="A165" s="129">
        <f>IF(F165&lt;&gt;"",1+MAX($A$7:A164),"")</f>
        <v>66</v>
      </c>
      <c r="B165" s="140" t="s">
        <v>105</v>
      </c>
      <c r="C165" s="140" t="s">
        <v>104</v>
      </c>
      <c r="D165" s="141"/>
      <c r="E165" s="163" t="s">
        <v>102</v>
      </c>
      <c r="F165" s="149">
        <f>84.6*4</f>
        <v>338.4</v>
      </c>
      <c r="G165" s="124">
        <v>0.1</v>
      </c>
      <c r="H165" s="143">
        <f>F165*(1+G165)</f>
        <v>372.24</v>
      </c>
      <c r="I165" s="145" t="s">
        <v>15</v>
      </c>
      <c r="J165" s="37">
        <f>J$148</f>
        <v>0</v>
      </c>
      <c r="K165" s="159">
        <f>J165*H165</f>
        <v>0</v>
      </c>
      <c r="L165" s="160"/>
    </row>
    <row r="166" spans="1:12" s="21" customFormat="1" x14ac:dyDescent="0.2">
      <c r="A166" s="129" t="str">
        <f>IF(F166&lt;&gt;"",1+MAX($A$7:A165),"")</f>
        <v/>
      </c>
      <c r="B166" s="140"/>
      <c r="C166" s="140"/>
      <c r="D166" s="141"/>
      <c r="E166" s="163"/>
      <c r="F166" s="149"/>
      <c r="G166" s="124"/>
      <c r="H166" s="143"/>
      <c r="I166" s="145"/>
      <c r="J166" s="37"/>
      <c r="K166" s="159"/>
      <c r="L166" s="160"/>
    </row>
    <row r="167" spans="1:12" s="21" customFormat="1" x14ac:dyDescent="0.2">
      <c r="A167" s="129" t="str">
        <f>IF(F167&lt;&gt;"",1+MAX($A$7:A166),"")</f>
        <v/>
      </c>
      <c r="B167" s="140"/>
      <c r="C167" s="140"/>
      <c r="D167" s="141"/>
      <c r="E167" s="158" t="s">
        <v>106</v>
      </c>
      <c r="F167" s="149"/>
      <c r="G167" s="144"/>
      <c r="H167" s="143"/>
      <c r="I167" s="145"/>
      <c r="J167" s="37"/>
      <c r="K167" s="159"/>
      <c r="L167" s="160"/>
    </row>
    <row r="168" spans="1:12" s="21" customFormat="1" x14ac:dyDescent="0.2">
      <c r="A168" s="129">
        <f>IF(F168&lt;&gt;"",1+MAX($A$7:A167),"")</f>
        <v>67</v>
      </c>
      <c r="B168" s="140" t="s">
        <v>105</v>
      </c>
      <c r="C168" s="140" t="s">
        <v>104</v>
      </c>
      <c r="D168" s="149"/>
      <c r="E168" s="163" t="s">
        <v>100</v>
      </c>
      <c r="F168" s="149">
        <f>589*9.75*2+143*9.75+8.3*3.5*2</f>
        <v>12937.85</v>
      </c>
      <c r="G168" s="124">
        <v>0.1</v>
      </c>
      <c r="H168" s="143">
        <f>F168*(1+G168)</f>
        <v>14231.635000000002</v>
      </c>
      <c r="I168" s="145" t="s">
        <v>18</v>
      </c>
      <c r="J168" s="37">
        <f>J$143</f>
        <v>0</v>
      </c>
      <c r="K168" s="159">
        <f>J168*H168</f>
        <v>0</v>
      </c>
      <c r="L168" s="160"/>
    </row>
    <row r="169" spans="1:12" s="21" customFormat="1" x14ac:dyDescent="0.2">
      <c r="A169" s="129" t="str">
        <f>IF(F169&lt;&gt;"",1+MAX($A$7:A168),"")</f>
        <v/>
      </c>
      <c r="B169" s="140"/>
      <c r="C169" s="140"/>
      <c r="D169" s="141"/>
      <c r="E169" s="165" t="s">
        <v>41</v>
      </c>
      <c r="F169" s="166"/>
      <c r="G169" s="167"/>
      <c r="H169" s="143">
        <f>ROUNDUP((H168)/32,0)</f>
        <v>445</v>
      </c>
      <c r="I169" s="145" t="s">
        <v>42</v>
      </c>
      <c r="J169" s="37"/>
      <c r="K169" s="159"/>
      <c r="L169" s="160"/>
    </row>
    <row r="170" spans="1:12" s="21" customFormat="1" x14ac:dyDescent="0.2">
      <c r="A170" s="129" t="str">
        <f>IF(F170&lt;&gt;"",1+MAX($A$7:A169),"")</f>
        <v/>
      </c>
      <c r="B170" s="140"/>
      <c r="C170" s="140"/>
      <c r="D170" s="141"/>
      <c r="E170" s="165" t="s">
        <v>43</v>
      </c>
      <c r="F170" s="166"/>
      <c r="G170" s="167"/>
      <c r="H170" s="143">
        <f>ROUNDUP(H169*24/500,0)</f>
        <v>22</v>
      </c>
      <c r="I170" s="145" t="s">
        <v>44</v>
      </c>
      <c r="J170" s="37"/>
      <c r="K170" s="159"/>
      <c r="L170" s="160"/>
    </row>
    <row r="171" spans="1:12" s="21" customFormat="1" x14ac:dyDescent="0.2">
      <c r="A171" s="129" t="str">
        <f>IF(F171&lt;&gt;"",1+MAX($A$7:A170),"")</f>
        <v/>
      </c>
      <c r="B171" s="140"/>
      <c r="C171" s="140"/>
      <c r="D171" s="141"/>
      <c r="E171" s="165" t="s">
        <v>45</v>
      </c>
      <c r="F171" s="166"/>
      <c r="G171" s="167"/>
      <c r="H171" s="168">
        <f>ROUNDUP((H168)/200,0)</f>
        <v>72</v>
      </c>
      <c r="I171" s="145" t="s">
        <v>46</v>
      </c>
      <c r="J171" s="37"/>
      <c r="K171" s="159"/>
      <c r="L171" s="160"/>
    </row>
    <row r="172" spans="1:12" s="21" customFormat="1" x14ac:dyDescent="0.2">
      <c r="A172" s="129" t="str">
        <f>IF(F172&lt;&gt;"",1+MAX($A$7:A171),"")</f>
        <v/>
      </c>
      <c r="B172" s="140"/>
      <c r="C172" s="140"/>
      <c r="D172" s="141"/>
      <c r="E172" s="165" t="s">
        <v>47</v>
      </c>
      <c r="F172" s="166"/>
      <c r="G172" s="167"/>
      <c r="H172" s="168">
        <f>ROUNDUP((H168)*5.25/1000,0)</f>
        <v>75</v>
      </c>
      <c r="I172" s="145" t="s">
        <v>48</v>
      </c>
      <c r="J172" s="37"/>
      <c r="K172" s="159"/>
      <c r="L172" s="160"/>
    </row>
    <row r="173" spans="1:12" s="21" customFormat="1" x14ac:dyDescent="0.2">
      <c r="A173" s="129">
        <f>IF(F173&lt;&gt;"",1+MAX($A$7:A172),"")</f>
        <v>68</v>
      </c>
      <c r="B173" s="140" t="s">
        <v>105</v>
      </c>
      <c r="C173" s="140" t="s">
        <v>104</v>
      </c>
      <c r="D173" s="149"/>
      <c r="E173" s="163" t="s">
        <v>101</v>
      </c>
      <c r="F173" s="149">
        <f>143*9.75</f>
        <v>1394.25</v>
      </c>
      <c r="G173" s="124">
        <v>0.1</v>
      </c>
      <c r="H173" s="143">
        <f>F173*(1+G173)</f>
        <v>1533.6750000000002</v>
      </c>
      <c r="I173" s="145" t="s">
        <v>18</v>
      </c>
      <c r="J173" s="37">
        <f>J$160</f>
        <v>0</v>
      </c>
      <c r="K173" s="159">
        <f>J173*H173</f>
        <v>0</v>
      </c>
      <c r="L173" s="160"/>
    </row>
    <row r="174" spans="1:12" s="21" customFormat="1" x14ac:dyDescent="0.2">
      <c r="A174" s="129" t="str">
        <f>IF(F174&lt;&gt;"",1+MAX($A$7:A173),"")</f>
        <v/>
      </c>
      <c r="B174" s="140"/>
      <c r="C174" s="140"/>
      <c r="D174" s="141"/>
      <c r="E174" s="165" t="s">
        <v>41</v>
      </c>
      <c r="F174" s="166"/>
      <c r="G174" s="167"/>
      <c r="H174" s="143">
        <f>ROUNDUP((H173)/32,0)</f>
        <v>48</v>
      </c>
      <c r="I174" s="145" t="s">
        <v>42</v>
      </c>
      <c r="J174" s="37"/>
      <c r="K174" s="159"/>
      <c r="L174" s="160"/>
    </row>
    <row r="175" spans="1:12" s="21" customFormat="1" x14ac:dyDescent="0.2">
      <c r="A175" s="129" t="str">
        <f>IF(F175&lt;&gt;"",1+MAX($A$7:A174),"")</f>
        <v/>
      </c>
      <c r="B175" s="140"/>
      <c r="C175" s="140"/>
      <c r="D175" s="141"/>
      <c r="E175" s="165" t="s">
        <v>43</v>
      </c>
      <c r="F175" s="166"/>
      <c r="G175" s="167"/>
      <c r="H175" s="143">
        <f>ROUNDUP(H174*24/500,0)</f>
        <v>3</v>
      </c>
      <c r="I175" s="145" t="s">
        <v>44</v>
      </c>
      <c r="J175" s="37"/>
      <c r="K175" s="159"/>
      <c r="L175" s="160"/>
    </row>
    <row r="176" spans="1:12" s="21" customFormat="1" x14ac:dyDescent="0.2">
      <c r="A176" s="129" t="str">
        <f>IF(F176&lt;&gt;"",1+MAX($A$7:A175),"")</f>
        <v/>
      </c>
      <c r="B176" s="140"/>
      <c r="C176" s="140"/>
      <c r="D176" s="141"/>
      <c r="E176" s="165" t="s">
        <v>45</v>
      </c>
      <c r="F176" s="166"/>
      <c r="G176" s="167"/>
      <c r="H176" s="168">
        <f>ROUNDUP((H173)/200,0)</f>
        <v>8</v>
      </c>
      <c r="I176" s="145" t="s">
        <v>46</v>
      </c>
      <c r="J176" s="37"/>
      <c r="K176" s="159"/>
      <c r="L176" s="160"/>
    </row>
    <row r="177" spans="1:12" s="21" customFormat="1" x14ac:dyDescent="0.2">
      <c r="A177" s="129" t="str">
        <f>IF(F177&lt;&gt;"",1+MAX($A$7:A176),"")</f>
        <v/>
      </c>
      <c r="B177" s="140"/>
      <c r="C177" s="140"/>
      <c r="D177" s="141"/>
      <c r="E177" s="165" t="s">
        <v>47</v>
      </c>
      <c r="F177" s="166"/>
      <c r="G177" s="167"/>
      <c r="H177" s="168">
        <f>ROUNDUP((H173)*5.25/1000,0)</f>
        <v>9</v>
      </c>
      <c r="I177" s="145" t="s">
        <v>48</v>
      </c>
      <c r="J177" s="37"/>
      <c r="K177" s="159"/>
      <c r="L177" s="160"/>
    </row>
    <row r="178" spans="1:12" s="21" customFormat="1" x14ac:dyDescent="0.2">
      <c r="A178" s="129">
        <f>IF(F178&lt;&gt;"",1+MAX($A$7:A177),"")</f>
        <v>69</v>
      </c>
      <c r="B178" s="140" t="s">
        <v>105</v>
      </c>
      <c r="C178" s="140" t="s">
        <v>104</v>
      </c>
      <c r="D178" s="141"/>
      <c r="E178" s="163" t="s">
        <v>102</v>
      </c>
      <c r="F178" s="149">
        <f>732*4+8.3*4</f>
        <v>2961.2</v>
      </c>
      <c r="G178" s="124">
        <v>0.1</v>
      </c>
      <c r="H178" s="143">
        <f>F178*(1+G178)</f>
        <v>3257.32</v>
      </c>
      <c r="I178" s="145" t="s">
        <v>15</v>
      </c>
      <c r="J178" s="37">
        <f>J$148</f>
        <v>0</v>
      </c>
      <c r="K178" s="159">
        <f>J178*H178</f>
        <v>0</v>
      </c>
      <c r="L178" s="160"/>
    </row>
    <row r="179" spans="1:12" s="21" customFormat="1" x14ac:dyDescent="0.2">
      <c r="A179" s="129" t="str">
        <f>IF(F179&lt;&gt;"",1+MAX($A$7:A178),"")</f>
        <v/>
      </c>
      <c r="B179" s="140"/>
      <c r="C179" s="140"/>
      <c r="D179" s="141"/>
      <c r="E179" s="163"/>
      <c r="F179" s="149"/>
      <c r="G179" s="124"/>
      <c r="H179" s="143"/>
      <c r="I179" s="145"/>
      <c r="J179" s="37"/>
      <c r="K179" s="159"/>
      <c r="L179" s="160"/>
    </row>
    <row r="180" spans="1:12" s="21" customFormat="1" x14ac:dyDescent="0.2">
      <c r="A180" s="129" t="str">
        <f>IF(F180&lt;&gt;"",1+MAX($A$7:A179),"")</f>
        <v/>
      </c>
      <c r="B180" s="140"/>
      <c r="C180" s="140"/>
      <c r="D180" s="141"/>
      <c r="E180" s="158" t="s">
        <v>110</v>
      </c>
      <c r="F180" s="149"/>
      <c r="G180" s="144"/>
      <c r="H180" s="143"/>
      <c r="I180" s="145"/>
      <c r="J180" s="37"/>
      <c r="K180" s="159"/>
      <c r="L180" s="160"/>
    </row>
    <row r="181" spans="1:12" s="21" customFormat="1" ht="31.5" x14ac:dyDescent="0.2">
      <c r="A181" s="129">
        <f>IF(F181&lt;&gt;"",1+MAX($A$7:A180),"")</f>
        <v>70</v>
      </c>
      <c r="B181" s="140" t="s">
        <v>105</v>
      </c>
      <c r="C181" s="140" t="s">
        <v>104</v>
      </c>
      <c r="D181" s="149"/>
      <c r="E181" s="163" t="s">
        <v>65</v>
      </c>
      <c r="F181" s="149">
        <f>17.2*9.75*2*2</f>
        <v>670.8</v>
      </c>
      <c r="G181" s="124">
        <v>0.1</v>
      </c>
      <c r="H181" s="143">
        <f>F181*(1+G181)</f>
        <v>737.88</v>
      </c>
      <c r="I181" s="145" t="s">
        <v>18</v>
      </c>
      <c r="J181" s="37">
        <f>J$143</f>
        <v>0</v>
      </c>
      <c r="K181" s="159">
        <f>J181*H181</f>
        <v>0</v>
      </c>
      <c r="L181" s="160"/>
    </row>
    <row r="182" spans="1:12" s="21" customFormat="1" x14ac:dyDescent="0.2">
      <c r="A182" s="129" t="str">
        <f>IF(F182&lt;&gt;"",1+MAX($A$7:A181),"")</f>
        <v/>
      </c>
      <c r="B182" s="140"/>
      <c r="C182" s="140"/>
      <c r="D182" s="141"/>
      <c r="E182" s="165" t="s">
        <v>41</v>
      </c>
      <c r="F182" s="166"/>
      <c r="G182" s="167"/>
      <c r="H182" s="143">
        <f>ROUNDUP((H181)/32,0)</f>
        <v>24</v>
      </c>
      <c r="I182" s="145" t="s">
        <v>42</v>
      </c>
      <c r="J182" s="37"/>
      <c r="K182" s="159"/>
      <c r="L182" s="160"/>
    </row>
    <row r="183" spans="1:12" s="21" customFormat="1" x14ac:dyDescent="0.2">
      <c r="A183" s="129" t="str">
        <f>IF(F183&lt;&gt;"",1+MAX($A$7:A182),"")</f>
        <v/>
      </c>
      <c r="B183" s="140"/>
      <c r="C183" s="140"/>
      <c r="D183" s="141"/>
      <c r="E183" s="165" t="s">
        <v>43</v>
      </c>
      <c r="F183" s="166"/>
      <c r="G183" s="167"/>
      <c r="H183" s="143">
        <f>ROUNDUP(H182*24/500,0)</f>
        <v>2</v>
      </c>
      <c r="I183" s="145" t="s">
        <v>44</v>
      </c>
      <c r="J183" s="37"/>
      <c r="K183" s="159"/>
      <c r="L183" s="160"/>
    </row>
    <row r="184" spans="1:12" s="21" customFormat="1" x14ac:dyDescent="0.2">
      <c r="A184" s="129" t="str">
        <f>IF(F184&lt;&gt;"",1+MAX($A$7:A183),"")</f>
        <v/>
      </c>
      <c r="B184" s="140"/>
      <c r="C184" s="140"/>
      <c r="D184" s="141"/>
      <c r="E184" s="165" t="s">
        <v>45</v>
      </c>
      <c r="F184" s="166"/>
      <c r="G184" s="167"/>
      <c r="H184" s="168">
        <f>ROUNDUP((H181)/200,0)</f>
        <v>4</v>
      </c>
      <c r="I184" s="145" t="s">
        <v>46</v>
      </c>
      <c r="J184" s="37"/>
      <c r="K184" s="159"/>
      <c r="L184" s="160"/>
    </row>
    <row r="185" spans="1:12" s="21" customFormat="1" x14ac:dyDescent="0.2">
      <c r="A185" s="129" t="str">
        <f>IF(F185&lt;&gt;"",1+MAX($A$7:A184),"")</f>
        <v/>
      </c>
      <c r="B185" s="140"/>
      <c r="C185" s="140"/>
      <c r="D185" s="141"/>
      <c r="E185" s="165" t="s">
        <v>47</v>
      </c>
      <c r="F185" s="166"/>
      <c r="G185" s="167"/>
      <c r="H185" s="168">
        <f>ROUNDUP((H181)*5.25/1000,0)</f>
        <v>4</v>
      </c>
      <c r="I185" s="145" t="s">
        <v>48</v>
      </c>
      <c r="J185" s="37"/>
      <c r="K185" s="159"/>
      <c r="L185" s="160"/>
    </row>
    <row r="186" spans="1:12" s="21" customFormat="1" x14ac:dyDescent="0.2">
      <c r="A186" s="129">
        <f>IF(F186&lt;&gt;"",1+MAX($A$7:A185),"")</f>
        <v>71</v>
      </c>
      <c r="B186" s="140" t="s">
        <v>105</v>
      </c>
      <c r="C186" s="140" t="s">
        <v>104</v>
      </c>
      <c r="D186" s="141"/>
      <c r="E186" s="163" t="s">
        <v>102</v>
      </c>
      <c r="F186" s="149">
        <f>17.2*4</f>
        <v>68.8</v>
      </c>
      <c r="G186" s="124">
        <v>0.1</v>
      </c>
      <c r="H186" s="143">
        <f>F186*(1+G186)</f>
        <v>75.680000000000007</v>
      </c>
      <c r="I186" s="145" t="s">
        <v>15</v>
      </c>
      <c r="J186" s="37">
        <f>J$148</f>
        <v>0</v>
      </c>
      <c r="K186" s="159">
        <f>J186*H186</f>
        <v>0</v>
      </c>
      <c r="L186" s="160"/>
    </row>
    <row r="187" spans="1:12" s="21" customFormat="1" x14ac:dyDescent="0.2">
      <c r="A187" s="129">
        <f>IF(F187&lt;&gt;"",1+MAX($A$7:A186),"")</f>
        <v>72</v>
      </c>
      <c r="B187" s="140" t="s">
        <v>105</v>
      </c>
      <c r="C187" s="140" t="s">
        <v>104</v>
      </c>
      <c r="D187" s="149"/>
      <c r="E187" s="163" t="s">
        <v>111</v>
      </c>
      <c r="F187" s="149">
        <f>17.2*9.75</f>
        <v>167.7</v>
      </c>
      <c r="G187" s="124">
        <v>0.1</v>
      </c>
      <c r="H187" s="143">
        <f>F187*(1+G187)</f>
        <v>184.47</v>
      </c>
      <c r="I187" s="145" t="s">
        <v>18</v>
      </c>
      <c r="J187" s="127">
        <v>0</v>
      </c>
      <c r="K187" s="159">
        <f>J187*H187</f>
        <v>0</v>
      </c>
      <c r="L187" s="160"/>
    </row>
    <row r="188" spans="1:12" s="21" customFormat="1" x14ac:dyDescent="0.2">
      <c r="A188" s="129" t="str">
        <f>IF(F188&lt;&gt;"",1+MAX($A$7:A187),"")</f>
        <v/>
      </c>
      <c r="B188" s="140"/>
      <c r="C188" s="140"/>
      <c r="D188" s="141"/>
      <c r="E188" s="163"/>
      <c r="F188" s="149"/>
      <c r="G188" s="124"/>
      <c r="H188" s="143"/>
      <c r="I188" s="145"/>
      <c r="J188" s="37"/>
      <c r="K188" s="159"/>
      <c r="L188" s="160"/>
    </row>
    <row r="189" spans="1:12" s="21" customFormat="1" x14ac:dyDescent="0.2">
      <c r="A189" s="129" t="str">
        <f>IF(F189&lt;&gt;"",1+MAX($A$7:A188),"")</f>
        <v/>
      </c>
      <c r="B189" s="140"/>
      <c r="C189" s="140"/>
      <c r="D189" s="141"/>
      <c r="E189" s="158" t="s">
        <v>192</v>
      </c>
      <c r="F189" s="149"/>
      <c r="G189" s="144"/>
      <c r="H189" s="143"/>
      <c r="I189" s="145"/>
      <c r="J189" s="37"/>
      <c r="K189" s="159"/>
      <c r="L189" s="160"/>
    </row>
    <row r="190" spans="1:12" s="21" customFormat="1" x14ac:dyDescent="0.2">
      <c r="A190" s="129">
        <f>IF(F190&lt;&gt;"",1+MAX($A$7:A189),"")</f>
        <v>73</v>
      </c>
      <c r="B190" s="140" t="s">
        <v>105</v>
      </c>
      <c r="C190" s="140" t="s">
        <v>104</v>
      </c>
      <c r="D190" s="149"/>
      <c r="E190" s="163" t="s">
        <v>100</v>
      </c>
      <c r="F190" s="149">
        <f>141.3*9.75*2+53.5*9.75+10.6*9.75</f>
        <v>3380.3250000000003</v>
      </c>
      <c r="G190" s="124">
        <v>0.1</v>
      </c>
      <c r="H190" s="143">
        <f>F190*(1+G190)</f>
        <v>3718.3575000000005</v>
      </c>
      <c r="I190" s="145" t="s">
        <v>18</v>
      </c>
      <c r="J190" s="37">
        <f>J$143</f>
        <v>0</v>
      </c>
      <c r="K190" s="159">
        <f>J190*H190</f>
        <v>0</v>
      </c>
      <c r="L190" s="160"/>
    </row>
    <row r="191" spans="1:12" s="21" customFormat="1" x14ac:dyDescent="0.2">
      <c r="A191" s="129" t="str">
        <f>IF(F191&lt;&gt;"",1+MAX($A$7:A190),"")</f>
        <v/>
      </c>
      <c r="B191" s="140"/>
      <c r="C191" s="140"/>
      <c r="D191" s="141"/>
      <c r="E191" s="165" t="s">
        <v>41</v>
      </c>
      <c r="F191" s="166"/>
      <c r="G191" s="167"/>
      <c r="H191" s="143">
        <f>ROUNDUP((H190)/32,0)</f>
        <v>117</v>
      </c>
      <c r="I191" s="145" t="s">
        <v>42</v>
      </c>
      <c r="J191" s="37"/>
      <c r="K191" s="159"/>
      <c r="L191" s="160"/>
    </row>
    <row r="192" spans="1:12" s="21" customFormat="1" x14ac:dyDescent="0.2">
      <c r="A192" s="129" t="str">
        <f>IF(F192&lt;&gt;"",1+MAX($A$7:A191),"")</f>
        <v/>
      </c>
      <c r="B192" s="140"/>
      <c r="C192" s="140"/>
      <c r="D192" s="141"/>
      <c r="E192" s="165" t="s">
        <v>43</v>
      </c>
      <c r="F192" s="166"/>
      <c r="G192" s="167"/>
      <c r="H192" s="143">
        <f>ROUNDUP(H191*24/500,0)</f>
        <v>6</v>
      </c>
      <c r="I192" s="145" t="s">
        <v>44</v>
      </c>
      <c r="J192" s="37"/>
      <c r="K192" s="159"/>
      <c r="L192" s="160"/>
    </row>
    <row r="193" spans="1:12" s="21" customFormat="1" x14ac:dyDescent="0.2">
      <c r="A193" s="129" t="str">
        <f>IF(F193&lt;&gt;"",1+MAX($A$7:A192),"")</f>
        <v/>
      </c>
      <c r="B193" s="140"/>
      <c r="C193" s="140"/>
      <c r="D193" s="141"/>
      <c r="E193" s="165" t="s">
        <v>45</v>
      </c>
      <c r="F193" s="166"/>
      <c r="G193" s="167"/>
      <c r="H193" s="168">
        <f>ROUNDUP((H190)/200,0)</f>
        <v>19</v>
      </c>
      <c r="I193" s="145" t="s">
        <v>46</v>
      </c>
      <c r="J193" s="37"/>
      <c r="K193" s="159"/>
      <c r="L193" s="160"/>
    </row>
    <row r="194" spans="1:12" s="21" customFormat="1" x14ac:dyDescent="0.2">
      <c r="A194" s="129" t="str">
        <f>IF(F194&lt;&gt;"",1+MAX($A$7:A193),"")</f>
        <v/>
      </c>
      <c r="B194" s="140"/>
      <c r="C194" s="140"/>
      <c r="D194" s="141"/>
      <c r="E194" s="165" t="s">
        <v>47</v>
      </c>
      <c r="F194" s="166"/>
      <c r="G194" s="167"/>
      <c r="H194" s="168">
        <f>ROUNDUP((H190)*5.25/1000,0)</f>
        <v>20</v>
      </c>
      <c r="I194" s="145" t="s">
        <v>48</v>
      </c>
      <c r="J194" s="37"/>
      <c r="K194" s="159"/>
      <c r="L194" s="160"/>
    </row>
    <row r="195" spans="1:12" s="21" customFormat="1" x14ac:dyDescent="0.2">
      <c r="A195" s="129">
        <f>IF(F195&lt;&gt;"",1+MAX($A$7:A194),"")</f>
        <v>74</v>
      </c>
      <c r="B195" s="140" t="s">
        <v>105</v>
      </c>
      <c r="C195" s="140" t="s">
        <v>104</v>
      </c>
      <c r="D195" s="149"/>
      <c r="E195" s="163" t="s">
        <v>101</v>
      </c>
      <c r="F195" s="149">
        <f>53.5*9.75+10.6*9.75</f>
        <v>624.97500000000002</v>
      </c>
      <c r="G195" s="124">
        <v>0.1</v>
      </c>
      <c r="H195" s="143">
        <f>F195*(1+G195)</f>
        <v>687.47250000000008</v>
      </c>
      <c r="I195" s="145" t="s">
        <v>18</v>
      </c>
      <c r="J195" s="37">
        <f>J$160</f>
        <v>0</v>
      </c>
      <c r="K195" s="159">
        <f>J195*H195</f>
        <v>0</v>
      </c>
      <c r="L195" s="160"/>
    </row>
    <row r="196" spans="1:12" s="21" customFormat="1" x14ac:dyDescent="0.2">
      <c r="A196" s="129" t="str">
        <f>IF(F196&lt;&gt;"",1+MAX($A$7:A195),"")</f>
        <v/>
      </c>
      <c r="B196" s="140"/>
      <c r="C196" s="140"/>
      <c r="D196" s="141"/>
      <c r="E196" s="165" t="s">
        <v>41</v>
      </c>
      <c r="F196" s="166"/>
      <c r="G196" s="167"/>
      <c r="H196" s="143">
        <f>ROUNDUP((H195)/32,0)</f>
        <v>22</v>
      </c>
      <c r="I196" s="145" t="s">
        <v>42</v>
      </c>
      <c r="J196" s="37"/>
      <c r="K196" s="159"/>
      <c r="L196" s="160"/>
    </row>
    <row r="197" spans="1:12" s="21" customFormat="1" x14ac:dyDescent="0.2">
      <c r="A197" s="129" t="str">
        <f>IF(F197&lt;&gt;"",1+MAX($A$7:A196),"")</f>
        <v/>
      </c>
      <c r="B197" s="140"/>
      <c r="C197" s="140"/>
      <c r="D197" s="141"/>
      <c r="E197" s="165" t="s">
        <v>43</v>
      </c>
      <c r="F197" s="166"/>
      <c r="G197" s="167"/>
      <c r="H197" s="143">
        <f>ROUNDUP(H196*24/500,0)</f>
        <v>2</v>
      </c>
      <c r="I197" s="145" t="s">
        <v>44</v>
      </c>
      <c r="J197" s="37"/>
      <c r="K197" s="159"/>
      <c r="L197" s="160"/>
    </row>
    <row r="198" spans="1:12" s="21" customFormat="1" x14ac:dyDescent="0.2">
      <c r="A198" s="129" t="str">
        <f>IF(F198&lt;&gt;"",1+MAX($A$7:A197),"")</f>
        <v/>
      </c>
      <c r="B198" s="140"/>
      <c r="C198" s="140"/>
      <c r="D198" s="141"/>
      <c r="E198" s="165" t="s">
        <v>45</v>
      </c>
      <c r="F198" s="166"/>
      <c r="G198" s="167"/>
      <c r="H198" s="168">
        <f>ROUNDUP((H195)/200,0)</f>
        <v>4</v>
      </c>
      <c r="I198" s="145" t="s">
        <v>46</v>
      </c>
      <c r="J198" s="37"/>
      <c r="K198" s="159"/>
      <c r="L198" s="160"/>
    </row>
    <row r="199" spans="1:12" s="21" customFormat="1" x14ac:dyDescent="0.2">
      <c r="A199" s="129" t="str">
        <f>IF(F199&lt;&gt;"",1+MAX($A$7:A198),"")</f>
        <v/>
      </c>
      <c r="B199" s="140"/>
      <c r="C199" s="140"/>
      <c r="D199" s="141"/>
      <c r="E199" s="165" t="s">
        <v>47</v>
      </c>
      <c r="F199" s="166"/>
      <c r="G199" s="167"/>
      <c r="H199" s="168">
        <f>ROUNDUP((H195)*5.25/1000,0)</f>
        <v>4</v>
      </c>
      <c r="I199" s="145" t="s">
        <v>48</v>
      </c>
      <c r="J199" s="37"/>
      <c r="K199" s="159"/>
      <c r="L199" s="160"/>
    </row>
    <row r="200" spans="1:12" s="21" customFormat="1" x14ac:dyDescent="0.2">
      <c r="A200" s="129">
        <f>IF(F200&lt;&gt;"",1+MAX($A$7:A199),"")</f>
        <v>75</v>
      </c>
      <c r="B200" s="140" t="s">
        <v>105</v>
      </c>
      <c r="C200" s="140" t="s">
        <v>104</v>
      </c>
      <c r="D200" s="141"/>
      <c r="E200" s="163" t="s">
        <v>102</v>
      </c>
      <c r="F200" s="149">
        <f>(194.8+10.6)*4</f>
        <v>821.6</v>
      </c>
      <c r="G200" s="124">
        <v>0.1</v>
      </c>
      <c r="H200" s="143">
        <f>F200*(1+G200)</f>
        <v>903.7600000000001</v>
      </c>
      <c r="I200" s="145" t="s">
        <v>15</v>
      </c>
      <c r="J200" s="37">
        <f>J$148</f>
        <v>0</v>
      </c>
      <c r="K200" s="159">
        <f>J200*H200</f>
        <v>0</v>
      </c>
      <c r="L200" s="160"/>
    </row>
    <row r="201" spans="1:12" s="21" customFormat="1" x14ac:dyDescent="0.2">
      <c r="A201" s="129">
        <f>IF(F201&lt;&gt;"",1+MAX($A$7:A200),"")</f>
        <v>76</v>
      </c>
      <c r="B201" s="140" t="s">
        <v>105</v>
      </c>
      <c r="C201" s="140" t="s">
        <v>104</v>
      </c>
      <c r="D201" s="149"/>
      <c r="E201" s="163" t="s">
        <v>111</v>
      </c>
      <c r="F201" s="149">
        <f>(194.8+10.6)*9.75</f>
        <v>2002.65</v>
      </c>
      <c r="G201" s="124">
        <v>0.1</v>
      </c>
      <c r="H201" s="143">
        <f>F201*(1+G201)</f>
        <v>2202.9150000000004</v>
      </c>
      <c r="I201" s="145" t="s">
        <v>18</v>
      </c>
      <c r="J201" s="37">
        <f>J$187</f>
        <v>0</v>
      </c>
      <c r="K201" s="159">
        <f>J201*H201</f>
        <v>0</v>
      </c>
      <c r="L201" s="160"/>
    </row>
    <row r="202" spans="1:12" s="21" customFormat="1" x14ac:dyDescent="0.2">
      <c r="A202" s="129">
        <f>IF(F202&lt;&gt;"",1+MAX($A$7:A201),"")</f>
        <v>77</v>
      </c>
      <c r="B202" s="140" t="s">
        <v>105</v>
      </c>
      <c r="C202" s="140" t="s">
        <v>104</v>
      </c>
      <c r="D202" s="149"/>
      <c r="E202" s="163" t="s">
        <v>116</v>
      </c>
      <c r="F202" s="149">
        <f>(194.8+10.6)*9.75</f>
        <v>2002.65</v>
      </c>
      <c r="G202" s="124">
        <v>0.1</v>
      </c>
      <c r="H202" s="143">
        <f>F202*(1+G202)</f>
        <v>2202.9150000000004</v>
      </c>
      <c r="I202" s="145" t="s">
        <v>18</v>
      </c>
      <c r="J202" s="127">
        <v>0</v>
      </c>
      <c r="K202" s="159">
        <f>J202*H202</f>
        <v>0</v>
      </c>
      <c r="L202" s="160"/>
    </row>
    <row r="203" spans="1:12" s="21" customFormat="1" x14ac:dyDescent="0.2">
      <c r="A203" s="129" t="str">
        <f>IF(F203&lt;&gt;"",1+MAX($A$7:A202),"")</f>
        <v/>
      </c>
      <c r="B203" s="140"/>
      <c r="C203" s="140"/>
      <c r="D203" s="141"/>
      <c r="E203" s="163"/>
      <c r="F203" s="149"/>
      <c r="G203" s="124"/>
      <c r="H203" s="143"/>
      <c r="I203" s="145"/>
      <c r="J203" s="37"/>
      <c r="K203" s="159"/>
      <c r="L203" s="160"/>
    </row>
    <row r="204" spans="1:12" s="21" customFormat="1" x14ac:dyDescent="0.2">
      <c r="A204" s="129" t="str">
        <f>IF(F204&lt;&gt;"",1+MAX($A$7:A203),"")</f>
        <v/>
      </c>
      <c r="B204" s="140"/>
      <c r="C204" s="140"/>
      <c r="D204" s="141"/>
      <c r="E204" s="158" t="s">
        <v>193</v>
      </c>
      <c r="F204" s="149"/>
      <c r="G204" s="144"/>
      <c r="H204" s="143"/>
      <c r="I204" s="145"/>
      <c r="J204" s="37"/>
      <c r="K204" s="159"/>
      <c r="L204" s="160"/>
    </row>
    <row r="205" spans="1:12" s="21" customFormat="1" x14ac:dyDescent="0.2">
      <c r="A205" s="129">
        <f>IF(F205&lt;&gt;"",1+MAX($A$7:A204),"")</f>
        <v>78</v>
      </c>
      <c r="B205" s="140" t="s">
        <v>105</v>
      </c>
      <c r="C205" s="140" t="s">
        <v>104</v>
      </c>
      <c r="D205" s="149"/>
      <c r="E205" s="163" t="s">
        <v>100</v>
      </c>
      <c r="F205" s="149">
        <f>165.6*9.75*2</f>
        <v>3229.2</v>
      </c>
      <c r="G205" s="124">
        <v>0.1</v>
      </c>
      <c r="H205" s="143">
        <f>F205*(1+G205)</f>
        <v>3552.12</v>
      </c>
      <c r="I205" s="145" t="s">
        <v>18</v>
      </c>
      <c r="J205" s="37">
        <f>J$143</f>
        <v>0</v>
      </c>
      <c r="K205" s="159">
        <f>J205*H205</f>
        <v>0</v>
      </c>
      <c r="L205" s="160"/>
    </row>
    <row r="206" spans="1:12" s="21" customFormat="1" x14ac:dyDescent="0.2">
      <c r="A206" s="129" t="str">
        <f>IF(F206&lt;&gt;"",1+MAX($A$7:A205),"")</f>
        <v/>
      </c>
      <c r="B206" s="140"/>
      <c r="C206" s="140"/>
      <c r="D206" s="141"/>
      <c r="E206" s="165" t="s">
        <v>41</v>
      </c>
      <c r="F206" s="166"/>
      <c r="G206" s="167"/>
      <c r="H206" s="143">
        <f>ROUNDUP((H205)/32,0)</f>
        <v>112</v>
      </c>
      <c r="I206" s="145" t="s">
        <v>42</v>
      </c>
      <c r="J206" s="37"/>
      <c r="K206" s="159"/>
      <c r="L206" s="160"/>
    </row>
    <row r="207" spans="1:12" s="21" customFormat="1" x14ac:dyDescent="0.2">
      <c r="A207" s="129" t="str">
        <f>IF(F207&lt;&gt;"",1+MAX($A$7:A206),"")</f>
        <v/>
      </c>
      <c r="B207" s="140"/>
      <c r="C207" s="140"/>
      <c r="D207" s="141"/>
      <c r="E207" s="165" t="s">
        <v>43</v>
      </c>
      <c r="F207" s="166"/>
      <c r="G207" s="167"/>
      <c r="H207" s="143">
        <f>ROUNDUP(H206*24/500,0)</f>
        <v>6</v>
      </c>
      <c r="I207" s="145" t="s">
        <v>44</v>
      </c>
      <c r="J207" s="37"/>
      <c r="K207" s="159"/>
      <c r="L207" s="160"/>
    </row>
    <row r="208" spans="1:12" s="21" customFormat="1" x14ac:dyDescent="0.2">
      <c r="A208" s="129" t="str">
        <f>IF(F208&lt;&gt;"",1+MAX($A$7:A207),"")</f>
        <v/>
      </c>
      <c r="B208" s="140"/>
      <c r="C208" s="140"/>
      <c r="D208" s="141"/>
      <c r="E208" s="165" t="s">
        <v>45</v>
      </c>
      <c r="F208" s="166"/>
      <c r="G208" s="167"/>
      <c r="H208" s="168">
        <f>ROUNDUP((H205)/200,0)</f>
        <v>18</v>
      </c>
      <c r="I208" s="145" t="s">
        <v>46</v>
      </c>
      <c r="J208" s="37"/>
      <c r="K208" s="159"/>
      <c r="L208" s="160"/>
    </row>
    <row r="209" spans="1:12" s="21" customFormat="1" x14ac:dyDescent="0.2">
      <c r="A209" s="129" t="str">
        <f>IF(F209&lt;&gt;"",1+MAX($A$7:A208),"")</f>
        <v/>
      </c>
      <c r="B209" s="140"/>
      <c r="C209" s="140"/>
      <c r="D209" s="141"/>
      <c r="E209" s="165" t="s">
        <v>47</v>
      </c>
      <c r="F209" s="166"/>
      <c r="G209" s="167"/>
      <c r="H209" s="168">
        <f>ROUNDUP((H205)*5.25/1000,0)</f>
        <v>19</v>
      </c>
      <c r="I209" s="145" t="s">
        <v>48</v>
      </c>
      <c r="J209" s="37"/>
      <c r="K209" s="159"/>
      <c r="L209" s="160"/>
    </row>
    <row r="210" spans="1:12" s="21" customFormat="1" x14ac:dyDescent="0.2">
      <c r="A210" s="129">
        <f>IF(F210&lt;&gt;"",1+MAX($A$7:A209),"")</f>
        <v>79</v>
      </c>
      <c r="B210" s="140" t="s">
        <v>105</v>
      </c>
      <c r="C210" s="140" t="s">
        <v>104</v>
      </c>
      <c r="D210" s="141"/>
      <c r="E210" s="163" t="s">
        <v>102</v>
      </c>
      <c r="F210" s="149">
        <f>165.6*4</f>
        <v>662.4</v>
      </c>
      <c r="G210" s="124">
        <v>0.1</v>
      </c>
      <c r="H210" s="143">
        <f>F210*(1+G210)</f>
        <v>728.64</v>
      </c>
      <c r="I210" s="145" t="s">
        <v>15</v>
      </c>
      <c r="J210" s="37">
        <f>J$148</f>
        <v>0</v>
      </c>
      <c r="K210" s="159">
        <f>J210*H210</f>
        <v>0</v>
      </c>
      <c r="L210" s="160"/>
    </row>
    <row r="211" spans="1:12" s="21" customFormat="1" x14ac:dyDescent="0.2">
      <c r="A211" s="129">
        <f>IF(F211&lt;&gt;"",1+MAX($A$7:A210),"")</f>
        <v>80</v>
      </c>
      <c r="B211" s="140" t="s">
        <v>105</v>
      </c>
      <c r="C211" s="140" t="s">
        <v>104</v>
      </c>
      <c r="D211" s="149"/>
      <c r="E211" s="163" t="s">
        <v>111</v>
      </c>
      <c r="F211" s="149">
        <f>165.6*9.75</f>
        <v>1614.6</v>
      </c>
      <c r="G211" s="124">
        <v>0.1</v>
      </c>
      <c r="H211" s="143">
        <f>F211*(1+G211)</f>
        <v>1776.06</v>
      </c>
      <c r="I211" s="145" t="s">
        <v>18</v>
      </c>
      <c r="J211" s="37">
        <f>J$187</f>
        <v>0</v>
      </c>
      <c r="K211" s="159">
        <f>J211*H211</f>
        <v>0</v>
      </c>
      <c r="L211" s="160"/>
    </row>
    <row r="212" spans="1:12" s="21" customFormat="1" x14ac:dyDescent="0.2">
      <c r="A212" s="129">
        <f>IF(F212&lt;&gt;"",1+MAX($A$7:A211),"")</f>
        <v>81</v>
      </c>
      <c r="B212" s="140" t="s">
        <v>105</v>
      </c>
      <c r="C212" s="140" t="s">
        <v>104</v>
      </c>
      <c r="D212" s="149"/>
      <c r="E212" s="163" t="s">
        <v>116</v>
      </c>
      <c r="F212" s="149">
        <f>165.6*9.75</f>
        <v>1614.6</v>
      </c>
      <c r="G212" s="124">
        <v>0.1</v>
      </c>
      <c r="H212" s="143">
        <f>F212*(1+G212)</f>
        <v>1776.06</v>
      </c>
      <c r="I212" s="145" t="s">
        <v>18</v>
      </c>
      <c r="J212" s="37">
        <f>J$202</f>
        <v>0</v>
      </c>
      <c r="K212" s="159">
        <f>J212*H212</f>
        <v>0</v>
      </c>
      <c r="L212" s="160"/>
    </row>
    <row r="213" spans="1:12" s="21" customFormat="1" x14ac:dyDescent="0.2">
      <c r="A213" s="129" t="str">
        <f>IF(F213&lt;&gt;"",1+MAX($A$7:A212),"")</f>
        <v/>
      </c>
      <c r="B213" s="140"/>
      <c r="C213" s="140"/>
      <c r="D213" s="141"/>
      <c r="E213" s="163"/>
      <c r="F213" s="149"/>
      <c r="G213" s="124"/>
      <c r="H213" s="143"/>
      <c r="I213" s="145"/>
      <c r="J213" s="37"/>
      <c r="K213" s="159"/>
      <c r="L213" s="160"/>
    </row>
    <row r="214" spans="1:12" s="21" customFormat="1" x14ac:dyDescent="0.2">
      <c r="A214" s="129" t="str">
        <f>IF(F214&lt;&gt;"",1+MAX($A$7:A213),"")</f>
        <v/>
      </c>
      <c r="B214" s="140"/>
      <c r="C214" s="140"/>
      <c r="D214" s="141"/>
      <c r="E214" s="158" t="s">
        <v>194</v>
      </c>
      <c r="F214" s="149"/>
      <c r="G214" s="144"/>
      <c r="H214" s="143"/>
      <c r="I214" s="145"/>
      <c r="J214" s="37"/>
      <c r="K214" s="159"/>
      <c r="L214" s="160"/>
    </row>
    <row r="215" spans="1:12" s="21" customFormat="1" x14ac:dyDescent="0.2">
      <c r="A215" s="129">
        <f>IF(F215&lt;&gt;"",1+MAX($A$7:A214),"")</f>
        <v>82</v>
      </c>
      <c r="B215" s="140" t="s">
        <v>105</v>
      </c>
      <c r="C215" s="140" t="s">
        <v>104</v>
      </c>
      <c r="D215" s="149"/>
      <c r="E215" s="163" t="s">
        <v>100</v>
      </c>
      <c r="F215" s="149">
        <f>25*9.75</f>
        <v>243.75</v>
      </c>
      <c r="G215" s="124">
        <v>0.1</v>
      </c>
      <c r="H215" s="143">
        <f>F215*(1+G215)</f>
        <v>268.125</v>
      </c>
      <c r="I215" s="145" t="s">
        <v>18</v>
      </c>
      <c r="J215" s="37">
        <f>J$143</f>
        <v>0</v>
      </c>
      <c r="K215" s="159">
        <f>J215*H215</f>
        <v>0</v>
      </c>
      <c r="L215" s="160"/>
    </row>
    <row r="216" spans="1:12" s="21" customFormat="1" x14ac:dyDescent="0.2">
      <c r="A216" s="129" t="str">
        <f>IF(F216&lt;&gt;"",1+MAX($A$7:A215),"")</f>
        <v/>
      </c>
      <c r="B216" s="140"/>
      <c r="C216" s="140"/>
      <c r="D216" s="141"/>
      <c r="E216" s="165" t="s">
        <v>41</v>
      </c>
      <c r="F216" s="166"/>
      <c r="G216" s="167"/>
      <c r="H216" s="143">
        <f>ROUNDUP((H215)/32,0)</f>
        <v>9</v>
      </c>
      <c r="I216" s="145" t="s">
        <v>42</v>
      </c>
      <c r="J216" s="37"/>
      <c r="K216" s="159"/>
      <c r="L216" s="160"/>
    </row>
    <row r="217" spans="1:12" s="21" customFormat="1" x14ac:dyDescent="0.2">
      <c r="A217" s="129" t="str">
        <f>IF(F217&lt;&gt;"",1+MAX($A$7:A216),"")</f>
        <v/>
      </c>
      <c r="B217" s="140"/>
      <c r="C217" s="140"/>
      <c r="D217" s="141"/>
      <c r="E217" s="165" t="s">
        <v>43</v>
      </c>
      <c r="F217" s="166"/>
      <c r="G217" s="167"/>
      <c r="H217" s="143">
        <f>ROUNDUP(H216*24/500,0)</f>
        <v>1</v>
      </c>
      <c r="I217" s="145" t="s">
        <v>44</v>
      </c>
      <c r="J217" s="37"/>
      <c r="K217" s="159"/>
      <c r="L217" s="160"/>
    </row>
    <row r="218" spans="1:12" s="21" customFormat="1" x14ac:dyDescent="0.2">
      <c r="A218" s="129" t="str">
        <f>IF(F218&lt;&gt;"",1+MAX($A$7:A217),"")</f>
        <v/>
      </c>
      <c r="B218" s="140"/>
      <c r="C218" s="140"/>
      <c r="D218" s="141"/>
      <c r="E218" s="165" t="s">
        <v>45</v>
      </c>
      <c r="F218" s="166"/>
      <c r="G218" s="167"/>
      <c r="H218" s="168">
        <f>ROUNDUP((H215)/200,0)</f>
        <v>2</v>
      </c>
      <c r="I218" s="145" t="s">
        <v>46</v>
      </c>
      <c r="J218" s="37"/>
      <c r="K218" s="159"/>
      <c r="L218" s="160"/>
    </row>
    <row r="219" spans="1:12" s="21" customFormat="1" x14ac:dyDescent="0.2">
      <c r="A219" s="129" t="str">
        <f>IF(F219&lt;&gt;"",1+MAX($A$7:A218),"")</f>
        <v/>
      </c>
      <c r="B219" s="140"/>
      <c r="C219" s="140"/>
      <c r="D219" s="141"/>
      <c r="E219" s="165" t="s">
        <v>47</v>
      </c>
      <c r="F219" s="166"/>
      <c r="G219" s="167"/>
      <c r="H219" s="168">
        <f>ROUNDUP((H215)*5.25/1000,0)</f>
        <v>2</v>
      </c>
      <c r="I219" s="145" t="s">
        <v>48</v>
      </c>
      <c r="J219" s="37"/>
      <c r="K219" s="159"/>
      <c r="L219" s="160"/>
    </row>
    <row r="220" spans="1:12" s="21" customFormat="1" x14ac:dyDescent="0.2">
      <c r="A220" s="129">
        <f>IF(F220&lt;&gt;"",1+MAX($A$7:A219),"")</f>
        <v>83</v>
      </c>
      <c r="B220" s="140" t="s">
        <v>105</v>
      </c>
      <c r="C220" s="140" t="s">
        <v>104</v>
      </c>
      <c r="D220" s="149"/>
      <c r="E220" s="163" t="s">
        <v>101</v>
      </c>
      <c r="F220" s="149">
        <f>25*9.75</f>
        <v>243.75</v>
      </c>
      <c r="G220" s="124">
        <v>0.1</v>
      </c>
      <c r="H220" s="143">
        <f>F220*(1+G220)</f>
        <v>268.125</v>
      </c>
      <c r="I220" s="145" t="s">
        <v>18</v>
      </c>
      <c r="J220" s="37">
        <f>J$160</f>
        <v>0</v>
      </c>
      <c r="K220" s="159">
        <f>J220*H220</f>
        <v>0</v>
      </c>
      <c r="L220" s="160"/>
    </row>
    <row r="221" spans="1:12" s="21" customFormat="1" x14ac:dyDescent="0.2">
      <c r="A221" s="129" t="str">
        <f>IF(F221&lt;&gt;"",1+MAX($A$7:A220),"")</f>
        <v/>
      </c>
      <c r="B221" s="140"/>
      <c r="C221" s="140"/>
      <c r="D221" s="141"/>
      <c r="E221" s="165" t="s">
        <v>41</v>
      </c>
      <c r="F221" s="166"/>
      <c r="G221" s="167"/>
      <c r="H221" s="143">
        <f>ROUNDUP((H220)/32,0)</f>
        <v>9</v>
      </c>
      <c r="I221" s="145" t="s">
        <v>42</v>
      </c>
      <c r="J221" s="37"/>
      <c r="K221" s="159"/>
      <c r="L221" s="160"/>
    </row>
    <row r="222" spans="1:12" s="21" customFormat="1" x14ac:dyDescent="0.2">
      <c r="A222" s="129" t="str">
        <f>IF(F222&lt;&gt;"",1+MAX($A$7:A221),"")</f>
        <v/>
      </c>
      <c r="B222" s="140"/>
      <c r="C222" s="140"/>
      <c r="D222" s="141"/>
      <c r="E222" s="165" t="s">
        <v>43</v>
      </c>
      <c r="F222" s="166"/>
      <c r="G222" s="167"/>
      <c r="H222" s="143">
        <f>ROUNDUP(H221*24/500,0)</f>
        <v>1</v>
      </c>
      <c r="I222" s="145" t="s">
        <v>44</v>
      </c>
      <c r="J222" s="37"/>
      <c r="K222" s="159"/>
      <c r="L222" s="160"/>
    </row>
    <row r="223" spans="1:12" s="21" customFormat="1" x14ac:dyDescent="0.2">
      <c r="A223" s="129" t="str">
        <f>IF(F223&lt;&gt;"",1+MAX($A$7:A222),"")</f>
        <v/>
      </c>
      <c r="B223" s="140"/>
      <c r="C223" s="140"/>
      <c r="D223" s="141"/>
      <c r="E223" s="165" t="s">
        <v>45</v>
      </c>
      <c r="F223" s="166"/>
      <c r="G223" s="167"/>
      <c r="H223" s="168">
        <f>ROUNDUP((H220)/200,0)</f>
        <v>2</v>
      </c>
      <c r="I223" s="145" t="s">
        <v>46</v>
      </c>
      <c r="J223" s="37"/>
      <c r="K223" s="159"/>
      <c r="L223" s="160"/>
    </row>
    <row r="224" spans="1:12" s="21" customFormat="1" x14ac:dyDescent="0.2">
      <c r="A224" s="129" t="str">
        <f>IF(F224&lt;&gt;"",1+MAX($A$7:A223),"")</f>
        <v/>
      </c>
      <c r="B224" s="140"/>
      <c r="C224" s="140"/>
      <c r="D224" s="141"/>
      <c r="E224" s="165" t="s">
        <v>47</v>
      </c>
      <c r="F224" s="166"/>
      <c r="G224" s="167"/>
      <c r="H224" s="168">
        <f>ROUNDUP((H220)*5.25/1000,0)</f>
        <v>2</v>
      </c>
      <c r="I224" s="145" t="s">
        <v>48</v>
      </c>
      <c r="J224" s="37"/>
      <c r="K224" s="159"/>
      <c r="L224" s="160"/>
    </row>
    <row r="225" spans="1:12" s="21" customFormat="1" x14ac:dyDescent="0.2">
      <c r="A225" s="129">
        <f>IF(F225&lt;&gt;"",1+MAX($A$7:A224),"")</f>
        <v>84</v>
      </c>
      <c r="B225" s="140" t="s">
        <v>105</v>
      </c>
      <c r="C225" s="140" t="s">
        <v>104</v>
      </c>
      <c r="D225" s="141"/>
      <c r="E225" s="163" t="s">
        <v>102</v>
      </c>
      <c r="F225" s="149">
        <f>25*4</f>
        <v>100</v>
      </c>
      <c r="G225" s="124">
        <v>0.1</v>
      </c>
      <c r="H225" s="143">
        <f>F225*(1+G225)</f>
        <v>110.00000000000001</v>
      </c>
      <c r="I225" s="145" t="s">
        <v>15</v>
      </c>
      <c r="J225" s="37">
        <f>J$148</f>
        <v>0</v>
      </c>
      <c r="K225" s="159">
        <f>J225*H225</f>
        <v>0</v>
      </c>
      <c r="L225" s="160"/>
    </row>
    <row r="226" spans="1:12" s="21" customFormat="1" x14ac:dyDescent="0.2">
      <c r="A226" s="129">
        <f>IF(F226&lt;&gt;"",1+MAX($A$7:A225),"")</f>
        <v>85</v>
      </c>
      <c r="B226" s="140" t="s">
        <v>105</v>
      </c>
      <c r="C226" s="140" t="s">
        <v>104</v>
      </c>
      <c r="D226" s="149"/>
      <c r="E226" s="163" t="s">
        <v>112</v>
      </c>
      <c r="F226" s="149">
        <f t="shared" ref="F226:F227" si="70">25*9.75</f>
        <v>243.75</v>
      </c>
      <c r="G226" s="124">
        <v>0.1</v>
      </c>
      <c r="H226" s="143">
        <f>F226*(1+G226)</f>
        <v>268.125</v>
      </c>
      <c r="I226" s="145" t="s">
        <v>18</v>
      </c>
      <c r="J226" s="127">
        <v>0</v>
      </c>
      <c r="K226" s="159">
        <f>J226*H226</f>
        <v>0</v>
      </c>
      <c r="L226" s="160"/>
    </row>
    <row r="227" spans="1:12" s="21" customFormat="1" x14ac:dyDescent="0.2">
      <c r="A227" s="129">
        <f>IF(F227&lt;&gt;"",1+MAX($A$7:A226),"")</f>
        <v>86</v>
      </c>
      <c r="B227" s="140" t="s">
        <v>105</v>
      </c>
      <c r="C227" s="140" t="s">
        <v>104</v>
      </c>
      <c r="D227" s="149"/>
      <c r="E227" s="163" t="s">
        <v>116</v>
      </c>
      <c r="F227" s="149">
        <f t="shared" si="70"/>
        <v>243.75</v>
      </c>
      <c r="G227" s="124">
        <v>0.1</v>
      </c>
      <c r="H227" s="143">
        <f>F227*(1+G227)</f>
        <v>268.125</v>
      </c>
      <c r="I227" s="145" t="s">
        <v>18</v>
      </c>
      <c r="J227" s="37">
        <f>J$202</f>
        <v>0</v>
      </c>
      <c r="K227" s="159">
        <f>J227*H227</f>
        <v>0</v>
      </c>
      <c r="L227" s="160"/>
    </row>
    <row r="228" spans="1:12" s="21" customFormat="1" x14ac:dyDescent="0.2">
      <c r="A228" s="129" t="str">
        <f>IF(F228&lt;&gt;"",1+MAX($A$7:A227),"")</f>
        <v/>
      </c>
      <c r="B228" s="140"/>
      <c r="C228" s="140"/>
      <c r="D228" s="141"/>
      <c r="E228" s="163"/>
      <c r="F228" s="149"/>
      <c r="G228" s="124"/>
      <c r="H228" s="143"/>
      <c r="I228" s="145"/>
      <c r="J228" s="37"/>
      <c r="K228" s="159"/>
      <c r="L228" s="160"/>
    </row>
    <row r="229" spans="1:12" s="21" customFormat="1" x14ac:dyDescent="0.2">
      <c r="A229" s="129" t="str">
        <f>IF(F229&lt;&gt;"",1+MAX($A$7:A228),"")</f>
        <v/>
      </c>
      <c r="B229" s="140"/>
      <c r="C229" s="140"/>
      <c r="D229" s="141"/>
      <c r="E229" s="158" t="s">
        <v>195</v>
      </c>
      <c r="F229" s="149"/>
      <c r="G229" s="144"/>
      <c r="H229" s="143"/>
      <c r="I229" s="145"/>
      <c r="J229" s="37"/>
      <c r="K229" s="159"/>
      <c r="L229" s="160"/>
    </row>
    <row r="230" spans="1:12" s="21" customFormat="1" ht="31.5" x14ac:dyDescent="0.2">
      <c r="A230" s="129">
        <f>IF(F230&lt;&gt;"",1+MAX($A$7:A229),"")</f>
        <v>87</v>
      </c>
      <c r="B230" s="140" t="s">
        <v>105</v>
      </c>
      <c r="C230" s="140" t="s">
        <v>104</v>
      </c>
      <c r="D230" s="149"/>
      <c r="E230" s="163" t="s">
        <v>197</v>
      </c>
      <c r="F230" s="149">
        <f>15.9*9.75*2</f>
        <v>310.05</v>
      </c>
      <c r="G230" s="124">
        <v>0.1</v>
      </c>
      <c r="H230" s="143">
        <f>F230*(1+G230)</f>
        <v>341.05500000000006</v>
      </c>
      <c r="I230" s="145" t="s">
        <v>18</v>
      </c>
      <c r="J230" s="37">
        <f>J$160</f>
        <v>0</v>
      </c>
      <c r="K230" s="159">
        <f>J230*H230</f>
        <v>0</v>
      </c>
      <c r="L230" s="160"/>
    </row>
    <row r="231" spans="1:12" s="21" customFormat="1" x14ac:dyDescent="0.2">
      <c r="A231" s="129" t="str">
        <f>IF(F231&lt;&gt;"",1+MAX($A$7:A230),"")</f>
        <v/>
      </c>
      <c r="B231" s="140"/>
      <c r="C231" s="140"/>
      <c r="D231" s="141"/>
      <c r="E231" s="165" t="s">
        <v>41</v>
      </c>
      <c r="F231" s="166"/>
      <c r="G231" s="167"/>
      <c r="H231" s="143">
        <f>ROUNDUP((H230)/32,0)</f>
        <v>11</v>
      </c>
      <c r="I231" s="145" t="s">
        <v>42</v>
      </c>
      <c r="J231" s="37"/>
      <c r="K231" s="159"/>
      <c r="L231" s="160"/>
    </row>
    <row r="232" spans="1:12" s="21" customFormat="1" x14ac:dyDescent="0.2">
      <c r="A232" s="129" t="str">
        <f>IF(F232&lt;&gt;"",1+MAX($A$7:A231),"")</f>
        <v/>
      </c>
      <c r="B232" s="140"/>
      <c r="C232" s="140"/>
      <c r="D232" s="141"/>
      <c r="E232" s="165" t="s">
        <v>43</v>
      </c>
      <c r="F232" s="166"/>
      <c r="G232" s="167"/>
      <c r="H232" s="143">
        <f>ROUNDUP(H231*24/500,0)</f>
        <v>1</v>
      </c>
      <c r="I232" s="145" t="s">
        <v>44</v>
      </c>
      <c r="J232" s="37"/>
      <c r="K232" s="159"/>
      <c r="L232" s="160"/>
    </row>
    <row r="233" spans="1:12" s="21" customFormat="1" x14ac:dyDescent="0.2">
      <c r="A233" s="129" t="str">
        <f>IF(F233&lt;&gt;"",1+MAX($A$7:A232),"")</f>
        <v/>
      </c>
      <c r="B233" s="140"/>
      <c r="C233" s="140"/>
      <c r="D233" s="141"/>
      <c r="E233" s="165" t="s">
        <v>45</v>
      </c>
      <c r="F233" s="166"/>
      <c r="G233" s="167"/>
      <c r="H233" s="168">
        <f>ROUNDUP((H230)/200,0)</f>
        <v>2</v>
      </c>
      <c r="I233" s="145" t="s">
        <v>46</v>
      </c>
      <c r="J233" s="37"/>
      <c r="K233" s="159"/>
      <c r="L233" s="160"/>
    </row>
    <row r="234" spans="1:12" s="21" customFormat="1" x14ac:dyDescent="0.2">
      <c r="A234" s="129" t="str">
        <f>IF(F234&lt;&gt;"",1+MAX($A$7:A233),"")</f>
        <v/>
      </c>
      <c r="B234" s="140"/>
      <c r="C234" s="140"/>
      <c r="D234" s="141"/>
      <c r="E234" s="165" t="s">
        <v>47</v>
      </c>
      <c r="F234" s="166"/>
      <c r="G234" s="167"/>
      <c r="H234" s="168">
        <f>ROUNDUP((H230)*5.25/1000,0)</f>
        <v>2</v>
      </c>
      <c r="I234" s="145" t="s">
        <v>48</v>
      </c>
      <c r="J234" s="37"/>
      <c r="K234" s="159"/>
      <c r="L234" s="160"/>
    </row>
    <row r="235" spans="1:12" s="21" customFormat="1" x14ac:dyDescent="0.2">
      <c r="A235" s="129">
        <f>IF(F235&lt;&gt;"",1+MAX($A$7:A234),"")</f>
        <v>88</v>
      </c>
      <c r="B235" s="140" t="s">
        <v>105</v>
      </c>
      <c r="C235" s="140" t="s">
        <v>104</v>
      </c>
      <c r="D235" s="141"/>
      <c r="E235" s="163" t="s">
        <v>102</v>
      </c>
      <c r="F235" s="149">
        <f>15.9*4</f>
        <v>63.6</v>
      </c>
      <c r="G235" s="124">
        <v>0.1</v>
      </c>
      <c r="H235" s="143">
        <f>F235*(1+G235)</f>
        <v>69.960000000000008</v>
      </c>
      <c r="I235" s="145" t="s">
        <v>15</v>
      </c>
      <c r="J235" s="37">
        <f>J$148</f>
        <v>0</v>
      </c>
      <c r="K235" s="159">
        <f>J235*H235</f>
        <v>0</v>
      </c>
      <c r="L235" s="160"/>
    </row>
    <row r="236" spans="1:12" s="21" customFormat="1" x14ac:dyDescent="0.2">
      <c r="A236" s="129">
        <f>IF(F236&lt;&gt;"",1+MAX($A$7:A235),"")</f>
        <v>89</v>
      </c>
      <c r="B236" s="140" t="s">
        <v>105</v>
      </c>
      <c r="C236" s="140" t="s">
        <v>104</v>
      </c>
      <c r="D236" s="149"/>
      <c r="E236" s="163" t="s">
        <v>112</v>
      </c>
      <c r="F236" s="149">
        <f>15.9*9.75</f>
        <v>155.02500000000001</v>
      </c>
      <c r="G236" s="124">
        <v>0.1</v>
      </c>
      <c r="H236" s="143">
        <f>F236*(1+G236)</f>
        <v>170.52750000000003</v>
      </c>
      <c r="I236" s="145" t="s">
        <v>18</v>
      </c>
      <c r="J236" s="37">
        <f>J$226</f>
        <v>0</v>
      </c>
      <c r="K236" s="159">
        <f>J236*H236</f>
        <v>0</v>
      </c>
      <c r="L236" s="160"/>
    </row>
    <row r="237" spans="1:12" s="21" customFormat="1" x14ac:dyDescent="0.2">
      <c r="A237" s="129">
        <f>IF(F237&lt;&gt;"",1+MAX($A$7:A236),"")</f>
        <v>90</v>
      </c>
      <c r="B237" s="140" t="s">
        <v>105</v>
      </c>
      <c r="C237" s="140" t="s">
        <v>104</v>
      </c>
      <c r="D237" s="149"/>
      <c r="E237" s="163" t="s">
        <v>116</v>
      </c>
      <c r="F237" s="149">
        <f>15.9*9.75</f>
        <v>155.02500000000001</v>
      </c>
      <c r="G237" s="124">
        <v>0.1</v>
      </c>
      <c r="H237" s="143">
        <f>F237*(1+G237)</f>
        <v>170.52750000000003</v>
      </c>
      <c r="I237" s="145" t="s">
        <v>18</v>
      </c>
      <c r="J237" s="37">
        <f>J$202</f>
        <v>0</v>
      </c>
      <c r="K237" s="159">
        <f>J237*H237</f>
        <v>0</v>
      </c>
      <c r="L237" s="160"/>
    </row>
    <row r="238" spans="1:12" s="21" customFormat="1" x14ac:dyDescent="0.2">
      <c r="A238" s="129" t="str">
        <f>IF(F238&lt;&gt;"",1+MAX($A$7:A237),"")</f>
        <v/>
      </c>
      <c r="B238" s="140"/>
      <c r="C238" s="140"/>
      <c r="D238" s="141"/>
      <c r="E238" s="163"/>
      <c r="F238" s="149"/>
      <c r="G238" s="124"/>
      <c r="H238" s="143"/>
      <c r="I238" s="145"/>
      <c r="J238" s="37"/>
      <c r="K238" s="159"/>
      <c r="L238" s="160"/>
    </row>
    <row r="239" spans="1:12" s="21" customFormat="1" x14ac:dyDescent="0.2">
      <c r="A239" s="129" t="str">
        <f>IF(F239&lt;&gt;"",1+MAX($A$7:A238),"")</f>
        <v/>
      </c>
      <c r="B239" s="140"/>
      <c r="C239" s="140"/>
      <c r="D239" s="141"/>
      <c r="E239" s="158" t="s">
        <v>120</v>
      </c>
      <c r="F239" s="149"/>
      <c r="G239" s="144"/>
      <c r="H239" s="143"/>
      <c r="I239" s="145"/>
      <c r="J239" s="37"/>
      <c r="K239" s="159"/>
      <c r="L239" s="160"/>
    </row>
    <row r="240" spans="1:12" s="21" customFormat="1" x14ac:dyDescent="0.2">
      <c r="A240" s="129">
        <f>IF(F240&lt;&gt;"",1+MAX($A$7:A239),"")</f>
        <v>91</v>
      </c>
      <c r="B240" s="140" t="s">
        <v>105</v>
      </c>
      <c r="C240" s="140" t="s">
        <v>104</v>
      </c>
      <c r="D240" s="149"/>
      <c r="E240" s="163" t="s">
        <v>100</v>
      </c>
      <c r="F240" s="149">
        <f>26.8*9.75*2+10.7*9.75</f>
        <v>626.92499999999995</v>
      </c>
      <c r="G240" s="124">
        <v>0.1</v>
      </c>
      <c r="H240" s="143">
        <f>F240*(1+G240)</f>
        <v>689.61749999999995</v>
      </c>
      <c r="I240" s="145" t="s">
        <v>18</v>
      </c>
      <c r="J240" s="37">
        <f>J$143</f>
        <v>0</v>
      </c>
      <c r="K240" s="159">
        <f>J240*H240</f>
        <v>0</v>
      </c>
      <c r="L240" s="160"/>
    </row>
    <row r="241" spans="1:12" s="21" customFormat="1" x14ac:dyDescent="0.2">
      <c r="A241" s="129" t="str">
        <f>IF(F241&lt;&gt;"",1+MAX($A$7:A240),"")</f>
        <v/>
      </c>
      <c r="B241" s="140"/>
      <c r="C241" s="140"/>
      <c r="D241" s="141"/>
      <c r="E241" s="165" t="s">
        <v>41</v>
      </c>
      <c r="F241" s="166"/>
      <c r="G241" s="167"/>
      <c r="H241" s="143">
        <f>ROUNDUP((H240)/32,0)</f>
        <v>22</v>
      </c>
      <c r="I241" s="145" t="s">
        <v>42</v>
      </c>
      <c r="J241" s="37"/>
      <c r="K241" s="159"/>
      <c r="L241" s="160"/>
    </row>
    <row r="242" spans="1:12" s="21" customFormat="1" x14ac:dyDescent="0.2">
      <c r="A242" s="129" t="str">
        <f>IF(F242&lt;&gt;"",1+MAX($A$7:A241),"")</f>
        <v/>
      </c>
      <c r="B242" s="140"/>
      <c r="C242" s="140"/>
      <c r="D242" s="141"/>
      <c r="E242" s="165" t="s">
        <v>43</v>
      </c>
      <c r="F242" s="166"/>
      <c r="G242" s="167"/>
      <c r="H242" s="143">
        <f>ROUNDUP(H241*24/500,0)</f>
        <v>2</v>
      </c>
      <c r="I242" s="145" t="s">
        <v>44</v>
      </c>
      <c r="J242" s="37"/>
      <c r="K242" s="159"/>
      <c r="L242" s="160"/>
    </row>
    <row r="243" spans="1:12" s="21" customFormat="1" x14ac:dyDescent="0.2">
      <c r="A243" s="129" t="str">
        <f>IF(F243&lt;&gt;"",1+MAX($A$7:A242),"")</f>
        <v/>
      </c>
      <c r="B243" s="140"/>
      <c r="C243" s="140"/>
      <c r="D243" s="141"/>
      <c r="E243" s="165" t="s">
        <v>45</v>
      </c>
      <c r="F243" s="166"/>
      <c r="G243" s="167"/>
      <c r="H243" s="168">
        <f>ROUNDUP((H240)/200,0)</f>
        <v>4</v>
      </c>
      <c r="I243" s="145" t="s">
        <v>46</v>
      </c>
      <c r="J243" s="37"/>
      <c r="K243" s="159"/>
      <c r="L243" s="160"/>
    </row>
    <row r="244" spans="1:12" s="21" customFormat="1" x14ac:dyDescent="0.2">
      <c r="A244" s="129" t="str">
        <f>IF(F244&lt;&gt;"",1+MAX($A$7:A243),"")</f>
        <v/>
      </c>
      <c r="B244" s="140"/>
      <c r="C244" s="140"/>
      <c r="D244" s="141"/>
      <c r="E244" s="165" t="s">
        <v>47</v>
      </c>
      <c r="F244" s="166"/>
      <c r="G244" s="167"/>
      <c r="H244" s="168">
        <f>ROUNDUP((H240)*5.25/1000,0)</f>
        <v>4</v>
      </c>
      <c r="I244" s="145" t="s">
        <v>48</v>
      </c>
      <c r="J244" s="37"/>
      <c r="K244" s="159"/>
      <c r="L244" s="160"/>
    </row>
    <row r="245" spans="1:12" s="21" customFormat="1" x14ac:dyDescent="0.2">
      <c r="A245" s="129">
        <f>IF(F245&lt;&gt;"",1+MAX($A$7:A244),"")</f>
        <v>92</v>
      </c>
      <c r="B245" s="140" t="s">
        <v>105</v>
      </c>
      <c r="C245" s="140" t="s">
        <v>104</v>
      </c>
      <c r="D245" s="149"/>
      <c r="E245" s="163" t="s">
        <v>101</v>
      </c>
      <c r="F245" s="149">
        <f>10.7*9.75</f>
        <v>104.32499999999999</v>
      </c>
      <c r="G245" s="124">
        <v>0.1</v>
      </c>
      <c r="H245" s="143">
        <f>F245*(1+G245)</f>
        <v>114.75749999999999</v>
      </c>
      <c r="I245" s="145" t="s">
        <v>18</v>
      </c>
      <c r="J245" s="37">
        <f>J$160</f>
        <v>0</v>
      </c>
      <c r="K245" s="159">
        <f>J245*H245</f>
        <v>0</v>
      </c>
      <c r="L245" s="160"/>
    </row>
    <row r="246" spans="1:12" s="21" customFormat="1" x14ac:dyDescent="0.2">
      <c r="A246" s="129" t="str">
        <f>IF(F246&lt;&gt;"",1+MAX($A$7:A245),"")</f>
        <v/>
      </c>
      <c r="B246" s="140"/>
      <c r="C246" s="140"/>
      <c r="D246" s="141"/>
      <c r="E246" s="165" t="s">
        <v>41</v>
      </c>
      <c r="F246" s="166"/>
      <c r="G246" s="167"/>
      <c r="H246" s="143">
        <f>ROUNDUP((H245)/32,0)</f>
        <v>4</v>
      </c>
      <c r="I246" s="145" t="s">
        <v>42</v>
      </c>
      <c r="J246" s="37"/>
      <c r="K246" s="159"/>
      <c r="L246" s="160"/>
    </row>
    <row r="247" spans="1:12" s="21" customFormat="1" x14ac:dyDescent="0.2">
      <c r="A247" s="129" t="str">
        <f>IF(F247&lt;&gt;"",1+MAX($A$7:A246),"")</f>
        <v/>
      </c>
      <c r="B247" s="140"/>
      <c r="C247" s="140"/>
      <c r="D247" s="141"/>
      <c r="E247" s="165" t="s">
        <v>43</v>
      </c>
      <c r="F247" s="166"/>
      <c r="G247" s="167"/>
      <c r="H247" s="143">
        <f>ROUNDUP(H246*24/500,0)</f>
        <v>1</v>
      </c>
      <c r="I247" s="145" t="s">
        <v>44</v>
      </c>
      <c r="J247" s="37"/>
      <c r="K247" s="159"/>
      <c r="L247" s="160"/>
    </row>
    <row r="248" spans="1:12" s="21" customFormat="1" x14ac:dyDescent="0.2">
      <c r="A248" s="129" t="str">
        <f>IF(F248&lt;&gt;"",1+MAX($A$7:A247),"")</f>
        <v/>
      </c>
      <c r="B248" s="140"/>
      <c r="C248" s="140"/>
      <c r="D248" s="141"/>
      <c r="E248" s="165" t="s">
        <v>45</v>
      </c>
      <c r="F248" s="166"/>
      <c r="G248" s="167"/>
      <c r="H248" s="168">
        <f>ROUNDUP((H245)/200,0)</f>
        <v>1</v>
      </c>
      <c r="I248" s="145" t="s">
        <v>46</v>
      </c>
      <c r="J248" s="37"/>
      <c r="K248" s="159"/>
      <c r="L248" s="160"/>
    </row>
    <row r="249" spans="1:12" s="21" customFormat="1" x14ac:dyDescent="0.2">
      <c r="A249" s="129" t="str">
        <f>IF(F249&lt;&gt;"",1+MAX($A$7:A248),"")</f>
        <v/>
      </c>
      <c r="B249" s="140"/>
      <c r="C249" s="140"/>
      <c r="D249" s="141"/>
      <c r="E249" s="165" t="s">
        <v>47</v>
      </c>
      <c r="F249" s="166"/>
      <c r="G249" s="167"/>
      <c r="H249" s="168">
        <f>ROUNDUP((H245)*5.25/1000,0)</f>
        <v>1</v>
      </c>
      <c r="I249" s="145" t="s">
        <v>48</v>
      </c>
      <c r="J249" s="37"/>
      <c r="K249" s="159"/>
      <c r="L249" s="160"/>
    </row>
    <row r="250" spans="1:12" s="21" customFormat="1" x14ac:dyDescent="0.2">
      <c r="A250" s="129">
        <f>IF(F250&lt;&gt;"",1+MAX($A$7:A249),"")</f>
        <v>93</v>
      </c>
      <c r="B250" s="140" t="s">
        <v>105</v>
      </c>
      <c r="C250" s="140" t="s">
        <v>104</v>
      </c>
      <c r="D250" s="141"/>
      <c r="E250" s="163" t="s">
        <v>102</v>
      </c>
      <c r="F250" s="149">
        <f>37.5*4</f>
        <v>150</v>
      </c>
      <c r="G250" s="124">
        <v>0.1</v>
      </c>
      <c r="H250" s="143">
        <f>F250*(1+G250)</f>
        <v>165</v>
      </c>
      <c r="I250" s="145" t="s">
        <v>15</v>
      </c>
      <c r="J250" s="37">
        <f>J$148</f>
        <v>0</v>
      </c>
      <c r="K250" s="159">
        <f>J250*H250</f>
        <v>0</v>
      </c>
      <c r="L250" s="160"/>
    </row>
    <row r="251" spans="1:12" s="21" customFormat="1" x14ac:dyDescent="0.2">
      <c r="A251" s="129">
        <f>IF(F251&lt;&gt;"",1+MAX($A$7:A250),"")</f>
        <v>94</v>
      </c>
      <c r="B251" s="140" t="s">
        <v>105</v>
      </c>
      <c r="C251" s="140" t="s">
        <v>104</v>
      </c>
      <c r="D251" s="149"/>
      <c r="E251" s="163" t="s">
        <v>109</v>
      </c>
      <c r="F251" s="149">
        <f>37.5*9.75</f>
        <v>365.625</v>
      </c>
      <c r="G251" s="124">
        <v>0.1</v>
      </c>
      <c r="H251" s="143">
        <f>F251*(1+G251)</f>
        <v>402.18750000000006</v>
      </c>
      <c r="I251" s="145" t="s">
        <v>18</v>
      </c>
      <c r="J251" s="127">
        <v>0</v>
      </c>
      <c r="K251" s="159">
        <f>J251*H251</f>
        <v>0</v>
      </c>
      <c r="L251" s="160"/>
    </row>
    <row r="252" spans="1:12" s="21" customFormat="1" x14ac:dyDescent="0.2">
      <c r="A252" s="129">
        <f>IF(F252&lt;&gt;"",1+MAX($A$7:A251),"")</f>
        <v>95</v>
      </c>
      <c r="B252" s="140" t="s">
        <v>105</v>
      </c>
      <c r="C252" s="140" t="s">
        <v>104</v>
      </c>
      <c r="D252" s="149"/>
      <c r="E252" s="163" t="s">
        <v>116</v>
      </c>
      <c r="F252" s="149">
        <f>37.5*9.75</f>
        <v>365.625</v>
      </c>
      <c r="G252" s="124">
        <v>0.1</v>
      </c>
      <c r="H252" s="143">
        <f>F252*(1+G252)</f>
        <v>402.18750000000006</v>
      </c>
      <c r="I252" s="145" t="s">
        <v>18</v>
      </c>
      <c r="J252" s="37">
        <f>J$202</f>
        <v>0</v>
      </c>
      <c r="K252" s="159">
        <f>J252*H252</f>
        <v>0</v>
      </c>
      <c r="L252" s="160"/>
    </row>
    <row r="253" spans="1:12" s="21" customFormat="1" x14ac:dyDescent="0.2">
      <c r="A253" s="129" t="str">
        <f>IF(F253&lt;&gt;"",1+MAX($A$7:A252),"")</f>
        <v/>
      </c>
      <c r="B253" s="140"/>
      <c r="C253" s="140"/>
      <c r="D253" s="141"/>
      <c r="E253" s="163"/>
      <c r="F253" s="149"/>
      <c r="G253" s="124"/>
      <c r="H253" s="143"/>
      <c r="I253" s="145"/>
      <c r="J253" s="37"/>
      <c r="K253" s="159"/>
      <c r="L253" s="160"/>
    </row>
    <row r="254" spans="1:12" s="21" customFormat="1" x14ac:dyDescent="0.2">
      <c r="A254" s="129" t="str">
        <f>IF(F254&lt;&gt;"",1+MAX($A$7:A253),"")</f>
        <v/>
      </c>
      <c r="B254" s="140"/>
      <c r="C254" s="140"/>
      <c r="D254" s="141"/>
      <c r="E254" s="158" t="s">
        <v>121</v>
      </c>
      <c r="F254" s="149"/>
      <c r="G254" s="144"/>
      <c r="H254" s="143"/>
      <c r="I254" s="145"/>
      <c r="J254" s="37"/>
      <c r="K254" s="159"/>
      <c r="L254" s="160"/>
    </row>
    <row r="255" spans="1:12" s="21" customFormat="1" x14ac:dyDescent="0.2">
      <c r="A255" s="129">
        <f>IF(F255&lt;&gt;"",1+MAX($A$7:A254),"")</f>
        <v>96</v>
      </c>
      <c r="B255" s="140" t="s">
        <v>105</v>
      </c>
      <c r="C255" s="140" t="s">
        <v>104</v>
      </c>
      <c r="D255" s="149"/>
      <c r="E255" s="163" t="s">
        <v>115</v>
      </c>
      <c r="F255" s="149">
        <f>37.5*9.75</f>
        <v>365.625</v>
      </c>
      <c r="G255" s="124">
        <v>0.1</v>
      </c>
      <c r="H255" s="143">
        <f>F255*(1+G255)</f>
        <v>402.18750000000006</v>
      </c>
      <c r="I255" s="145" t="s">
        <v>18</v>
      </c>
      <c r="J255" s="37">
        <f>J$143</f>
        <v>0</v>
      </c>
      <c r="K255" s="159">
        <f>J255*H255</f>
        <v>0</v>
      </c>
      <c r="L255" s="160"/>
    </row>
    <row r="256" spans="1:12" s="21" customFormat="1" x14ac:dyDescent="0.2">
      <c r="A256" s="129" t="str">
        <f>IF(F256&lt;&gt;"",1+MAX($A$7:A255),"")</f>
        <v/>
      </c>
      <c r="B256" s="140"/>
      <c r="C256" s="140"/>
      <c r="D256" s="141"/>
      <c r="E256" s="165" t="s">
        <v>41</v>
      </c>
      <c r="F256" s="166"/>
      <c r="G256" s="167"/>
      <c r="H256" s="143">
        <f>ROUNDUP((H255)/32,0)</f>
        <v>13</v>
      </c>
      <c r="I256" s="145" t="s">
        <v>42</v>
      </c>
      <c r="J256" s="37"/>
      <c r="K256" s="159"/>
      <c r="L256" s="160"/>
    </row>
    <row r="257" spans="1:12" s="21" customFormat="1" x14ac:dyDescent="0.2">
      <c r="A257" s="129" t="str">
        <f>IF(F257&lt;&gt;"",1+MAX($A$7:A256),"")</f>
        <v/>
      </c>
      <c r="B257" s="140"/>
      <c r="C257" s="140"/>
      <c r="D257" s="141"/>
      <c r="E257" s="165" t="s">
        <v>43</v>
      </c>
      <c r="F257" s="166"/>
      <c r="G257" s="167"/>
      <c r="H257" s="143">
        <f>ROUNDUP(H256*24/500,0)</f>
        <v>1</v>
      </c>
      <c r="I257" s="145" t="s">
        <v>44</v>
      </c>
      <c r="J257" s="37"/>
      <c r="K257" s="159"/>
      <c r="L257" s="160"/>
    </row>
    <row r="258" spans="1:12" s="21" customFormat="1" x14ac:dyDescent="0.2">
      <c r="A258" s="129" t="str">
        <f>IF(F258&lt;&gt;"",1+MAX($A$7:A257),"")</f>
        <v/>
      </c>
      <c r="B258" s="140"/>
      <c r="C258" s="140"/>
      <c r="D258" s="141"/>
      <c r="E258" s="165" t="s">
        <v>45</v>
      </c>
      <c r="F258" s="166"/>
      <c r="G258" s="167"/>
      <c r="H258" s="168">
        <f>ROUNDUP((H255)/200,0)</f>
        <v>3</v>
      </c>
      <c r="I258" s="145" t="s">
        <v>46</v>
      </c>
      <c r="J258" s="37"/>
      <c r="K258" s="159"/>
      <c r="L258" s="160"/>
    </row>
    <row r="259" spans="1:12" s="21" customFormat="1" x14ac:dyDescent="0.2">
      <c r="A259" s="129" t="str">
        <f>IF(F259&lt;&gt;"",1+MAX($A$7:A258),"")</f>
        <v/>
      </c>
      <c r="B259" s="140"/>
      <c r="C259" s="140"/>
      <c r="D259" s="141"/>
      <c r="E259" s="165" t="s">
        <v>47</v>
      </c>
      <c r="F259" s="166"/>
      <c r="G259" s="167"/>
      <c r="H259" s="168">
        <f>ROUNDUP((H255)*5.25/1000,0)</f>
        <v>3</v>
      </c>
      <c r="I259" s="145" t="s">
        <v>48</v>
      </c>
      <c r="J259" s="37"/>
      <c r="K259" s="159"/>
      <c r="L259" s="160"/>
    </row>
    <row r="260" spans="1:12" s="21" customFormat="1" x14ac:dyDescent="0.2">
      <c r="A260" s="129">
        <f>IF(F260&lt;&gt;"",1+MAX($A$7:A259),"")</f>
        <v>97</v>
      </c>
      <c r="B260" s="140" t="s">
        <v>105</v>
      </c>
      <c r="C260" s="140" t="s">
        <v>104</v>
      </c>
      <c r="D260" s="149"/>
      <c r="E260" s="163" t="s">
        <v>101</v>
      </c>
      <c r="F260" s="149">
        <f>22*9.75</f>
        <v>214.5</v>
      </c>
      <c r="G260" s="124">
        <v>0.1</v>
      </c>
      <c r="H260" s="143">
        <f>F260*(1+G260)</f>
        <v>235.95000000000002</v>
      </c>
      <c r="I260" s="145" t="s">
        <v>18</v>
      </c>
      <c r="J260" s="37">
        <f>J$160</f>
        <v>0</v>
      </c>
      <c r="K260" s="159">
        <f>J260*H260</f>
        <v>0</v>
      </c>
      <c r="L260" s="160"/>
    </row>
    <row r="261" spans="1:12" s="21" customFormat="1" x14ac:dyDescent="0.2">
      <c r="A261" s="129" t="str">
        <f>IF(F261&lt;&gt;"",1+MAX($A$7:A260),"")</f>
        <v/>
      </c>
      <c r="B261" s="140"/>
      <c r="C261" s="140"/>
      <c r="D261" s="141"/>
      <c r="E261" s="165" t="s">
        <v>41</v>
      </c>
      <c r="F261" s="166"/>
      <c r="G261" s="167"/>
      <c r="H261" s="143">
        <f>ROUNDUP((H260)/32,0)</f>
        <v>8</v>
      </c>
      <c r="I261" s="145" t="s">
        <v>42</v>
      </c>
      <c r="J261" s="37"/>
      <c r="K261" s="159"/>
      <c r="L261" s="160"/>
    </row>
    <row r="262" spans="1:12" s="21" customFormat="1" x14ac:dyDescent="0.2">
      <c r="A262" s="129" t="str">
        <f>IF(F262&lt;&gt;"",1+MAX($A$7:A261),"")</f>
        <v/>
      </c>
      <c r="B262" s="140"/>
      <c r="C262" s="140"/>
      <c r="D262" s="141"/>
      <c r="E262" s="165" t="s">
        <v>43</v>
      </c>
      <c r="F262" s="166"/>
      <c r="G262" s="167"/>
      <c r="H262" s="143">
        <f>ROUNDUP(H261*24/500,0)</f>
        <v>1</v>
      </c>
      <c r="I262" s="145" t="s">
        <v>44</v>
      </c>
      <c r="J262" s="37"/>
      <c r="K262" s="159"/>
      <c r="L262" s="160"/>
    </row>
    <row r="263" spans="1:12" s="21" customFormat="1" x14ac:dyDescent="0.2">
      <c r="A263" s="129" t="str">
        <f>IF(F263&lt;&gt;"",1+MAX($A$7:A262),"")</f>
        <v/>
      </c>
      <c r="B263" s="140"/>
      <c r="C263" s="140"/>
      <c r="D263" s="141"/>
      <c r="E263" s="165" t="s">
        <v>45</v>
      </c>
      <c r="F263" s="166"/>
      <c r="G263" s="167"/>
      <c r="H263" s="168">
        <f>ROUNDUP((H260)/200,0)</f>
        <v>2</v>
      </c>
      <c r="I263" s="145" t="s">
        <v>46</v>
      </c>
      <c r="J263" s="37"/>
      <c r="K263" s="159"/>
      <c r="L263" s="160"/>
    </row>
    <row r="264" spans="1:12" s="21" customFormat="1" x14ac:dyDescent="0.2">
      <c r="A264" s="129" t="str">
        <f>IF(F264&lt;&gt;"",1+MAX($A$7:A263),"")</f>
        <v/>
      </c>
      <c r="B264" s="140"/>
      <c r="C264" s="140"/>
      <c r="D264" s="141"/>
      <c r="E264" s="165" t="s">
        <v>47</v>
      </c>
      <c r="F264" s="166"/>
      <c r="G264" s="167"/>
      <c r="H264" s="168">
        <f>ROUNDUP((H260)*5.25/1000,0)</f>
        <v>2</v>
      </c>
      <c r="I264" s="145" t="s">
        <v>48</v>
      </c>
      <c r="J264" s="37"/>
      <c r="K264" s="159"/>
      <c r="L264" s="160"/>
    </row>
    <row r="265" spans="1:12" s="21" customFormat="1" x14ac:dyDescent="0.2">
      <c r="A265" s="129">
        <f>IF(F265&lt;&gt;"",1+MAX($A$7:A264),"")</f>
        <v>98</v>
      </c>
      <c r="B265" s="140" t="s">
        <v>105</v>
      </c>
      <c r="C265" s="140" t="s">
        <v>104</v>
      </c>
      <c r="D265" s="141"/>
      <c r="E265" s="163" t="s">
        <v>102</v>
      </c>
      <c r="F265" s="149">
        <f>59.5*2</f>
        <v>119</v>
      </c>
      <c r="G265" s="124">
        <v>0.1</v>
      </c>
      <c r="H265" s="143">
        <f>F265*(1+G265)</f>
        <v>130.9</v>
      </c>
      <c r="I265" s="145" t="s">
        <v>15</v>
      </c>
      <c r="J265" s="37">
        <f>J$148</f>
        <v>0</v>
      </c>
      <c r="K265" s="159">
        <f>J265*H265</f>
        <v>0</v>
      </c>
      <c r="L265" s="160"/>
    </row>
    <row r="266" spans="1:12" s="21" customFormat="1" x14ac:dyDescent="0.2">
      <c r="A266" s="129">
        <f>IF(F266&lt;&gt;"",1+MAX($A$7:A265),"")</f>
        <v>99</v>
      </c>
      <c r="B266" s="140" t="s">
        <v>105</v>
      </c>
      <c r="C266" s="140" t="s">
        <v>104</v>
      </c>
      <c r="D266" s="149"/>
      <c r="E266" s="163" t="s">
        <v>111</v>
      </c>
      <c r="F266" s="149">
        <f>59.5*9.75</f>
        <v>580.125</v>
      </c>
      <c r="G266" s="124">
        <v>0.1</v>
      </c>
      <c r="H266" s="143">
        <f>F266*(1+G266)</f>
        <v>638.13750000000005</v>
      </c>
      <c r="I266" s="145" t="s">
        <v>18</v>
      </c>
      <c r="J266" s="37">
        <f>J$187</f>
        <v>0</v>
      </c>
      <c r="K266" s="159">
        <f>J266*H266</f>
        <v>0</v>
      </c>
      <c r="L266" s="160"/>
    </row>
    <row r="267" spans="1:12" s="21" customFormat="1" x14ac:dyDescent="0.2">
      <c r="A267" s="129">
        <f>IF(F267&lt;&gt;"",1+MAX($A$7:A266),"")</f>
        <v>100</v>
      </c>
      <c r="B267" s="140" t="s">
        <v>105</v>
      </c>
      <c r="C267" s="140" t="s">
        <v>104</v>
      </c>
      <c r="D267" s="149"/>
      <c r="E267" s="163" t="s">
        <v>116</v>
      </c>
      <c r="F267" s="149">
        <f>59.5*9.75</f>
        <v>580.125</v>
      </c>
      <c r="G267" s="124">
        <v>0.1</v>
      </c>
      <c r="H267" s="143">
        <f>F267*(1+G267)</f>
        <v>638.13750000000005</v>
      </c>
      <c r="I267" s="145" t="s">
        <v>18</v>
      </c>
      <c r="J267" s="37">
        <f>J$202</f>
        <v>0</v>
      </c>
      <c r="K267" s="159">
        <f>J267*H267</f>
        <v>0</v>
      </c>
      <c r="L267" s="160"/>
    </row>
    <row r="268" spans="1:12" s="21" customFormat="1" x14ac:dyDescent="0.2">
      <c r="A268" s="129" t="str">
        <f>IF(F268&lt;&gt;"",1+MAX($A$7:A267),"")</f>
        <v/>
      </c>
      <c r="B268" s="140"/>
      <c r="C268" s="140"/>
      <c r="D268" s="141"/>
      <c r="E268" s="163"/>
      <c r="F268" s="149"/>
      <c r="G268" s="124"/>
      <c r="H268" s="143"/>
      <c r="I268" s="145"/>
      <c r="J268" s="37"/>
      <c r="K268" s="159"/>
      <c r="L268" s="160"/>
    </row>
    <row r="269" spans="1:12" s="21" customFormat="1" x14ac:dyDescent="0.2">
      <c r="A269" s="129" t="str">
        <f>IF(F269&lt;&gt;"",1+MAX($A$7:A268),"")</f>
        <v/>
      </c>
      <c r="B269" s="140"/>
      <c r="C269" s="140"/>
      <c r="D269" s="141"/>
      <c r="E269" s="158" t="s">
        <v>122</v>
      </c>
      <c r="F269" s="149"/>
      <c r="G269" s="144"/>
      <c r="H269" s="143"/>
      <c r="I269" s="145"/>
      <c r="J269" s="37"/>
      <c r="K269" s="159"/>
      <c r="L269" s="160"/>
    </row>
    <row r="270" spans="1:12" s="21" customFormat="1" x14ac:dyDescent="0.2">
      <c r="A270" s="129">
        <f>IF(F270&lt;&gt;"",1+MAX($A$7:A269),"")</f>
        <v>101</v>
      </c>
      <c r="B270" s="140" t="s">
        <v>105</v>
      </c>
      <c r="C270" s="140" t="s">
        <v>104</v>
      </c>
      <c r="D270" s="149"/>
      <c r="E270" s="163" t="s">
        <v>115</v>
      </c>
      <c r="F270" s="149">
        <f>45.8*9.75</f>
        <v>446.54999999999995</v>
      </c>
      <c r="G270" s="124">
        <v>0.1</v>
      </c>
      <c r="H270" s="143">
        <f>F270*(1+G270)</f>
        <v>491.20499999999998</v>
      </c>
      <c r="I270" s="145" t="s">
        <v>18</v>
      </c>
      <c r="J270" s="37">
        <f>J$143</f>
        <v>0</v>
      </c>
      <c r="K270" s="159">
        <f>J270*H270</f>
        <v>0</v>
      </c>
      <c r="L270" s="160"/>
    </row>
    <row r="271" spans="1:12" s="21" customFormat="1" x14ac:dyDescent="0.2">
      <c r="A271" s="129" t="str">
        <f>IF(F271&lt;&gt;"",1+MAX($A$7:A270),"")</f>
        <v/>
      </c>
      <c r="B271" s="140"/>
      <c r="C271" s="140"/>
      <c r="D271" s="141"/>
      <c r="E271" s="165" t="s">
        <v>41</v>
      </c>
      <c r="F271" s="166"/>
      <c r="G271" s="167"/>
      <c r="H271" s="143">
        <f>ROUNDUP((H270)/32,0)</f>
        <v>16</v>
      </c>
      <c r="I271" s="145" t="s">
        <v>42</v>
      </c>
      <c r="J271" s="37"/>
      <c r="K271" s="159"/>
      <c r="L271" s="160"/>
    </row>
    <row r="272" spans="1:12" s="21" customFormat="1" x14ac:dyDescent="0.2">
      <c r="A272" s="129" t="str">
        <f>IF(F272&lt;&gt;"",1+MAX($A$7:A271),"")</f>
        <v/>
      </c>
      <c r="B272" s="140"/>
      <c r="C272" s="140"/>
      <c r="D272" s="141"/>
      <c r="E272" s="165" t="s">
        <v>43</v>
      </c>
      <c r="F272" s="166"/>
      <c r="G272" s="167"/>
      <c r="H272" s="143">
        <f>ROUNDUP(H271*24/500,0)</f>
        <v>1</v>
      </c>
      <c r="I272" s="145" t="s">
        <v>44</v>
      </c>
      <c r="J272" s="37"/>
      <c r="K272" s="159"/>
      <c r="L272" s="160"/>
    </row>
    <row r="273" spans="1:12" s="21" customFormat="1" x14ac:dyDescent="0.2">
      <c r="A273" s="129" t="str">
        <f>IF(F273&lt;&gt;"",1+MAX($A$7:A272),"")</f>
        <v/>
      </c>
      <c r="B273" s="140"/>
      <c r="C273" s="140"/>
      <c r="D273" s="141"/>
      <c r="E273" s="165" t="s">
        <v>45</v>
      </c>
      <c r="F273" s="166"/>
      <c r="G273" s="167"/>
      <c r="H273" s="168">
        <f>ROUNDUP((H270)/200,0)</f>
        <v>3</v>
      </c>
      <c r="I273" s="145" t="s">
        <v>46</v>
      </c>
      <c r="J273" s="37"/>
      <c r="K273" s="159"/>
      <c r="L273" s="160"/>
    </row>
    <row r="274" spans="1:12" s="21" customFormat="1" x14ac:dyDescent="0.2">
      <c r="A274" s="129" t="str">
        <f>IF(F274&lt;&gt;"",1+MAX($A$7:A273),"")</f>
        <v/>
      </c>
      <c r="B274" s="140"/>
      <c r="C274" s="140"/>
      <c r="D274" s="141"/>
      <c r="E274" s="165" t="s">
        <v>47</v>
      </c>
      <c r="F274" s="166"/>
      <c r="G274" s="167"/>
      <c r="H274" s="168">
        <f>ROUNDUP((H270)*5.25/1000,0)</f>
        <v>3</v>
      </c>
      <c r="I274" s="145" t="s">
        <v>48</v>
      </c>
      <c r="J274" s="37"/>
      <c r="K274" s="159"/>
      <c r="L274" s="160"/>
    </row>
    <row r="275" spans="1:12" s="21" customFormat="1" x14ac:dyDescent="0.2">
      <c r="A275" s="129">
        <f>IF(F275&lt;&gt;"",1+MAX($A$7:A274),"")</f>
        <v>102</v>
      </c>
      <c r="B275" s="140" t="s">
        <v>105</v>
      </c>
      <c r="C275" s="140" t="s">
        <v>104</v>
      </c>
      <c r="D275" s="141"/>
      <c r="E275" s="163" t="s">
        <v>102</v>
      </c>
      <c r="F275" s="149">
        <f>45.8*2</f>
        <v>91.6</v>
      </c>
      <c r="G275" s="124">
        <v>0.1</v>
      </c>
      <c r="H275" s="143">
        <f>F275*(1+G275)</f>
        <v>100.76</v>
      </c>
      <c r="I275" s="145" t="s">
        <v>15</v>
      </c>
      <c r="J275" s="37">
        <f>J$148</f>
        <v>0</v>
      </c>
      <c r="K275" s="159">
        <f>J275*H275</f>
        <v>0</v>
      </c>
      <c r="L275" s="160"/>
    </row>
    <row r="276" spans="1:12" s="21" customFormat="1" x14ac:dyDescent="0.2">
      <c r="A276" s="129">
        <f>IF(F276&lt;&gt;"",1+MAX($A$7:A275),"")</f>
        <v>103</v>
      </c>
      <c r="B276" s="140" t="s">
        <v>105</v>
      </c>
      <c r="C276" s="140" t="s">
        <v>104</v>
      </c>
      <c r="D276" s="149"/>
      <c r="E276" s="163" t="s">
        <v>349</v>
      </c>
      <c r="F276" s="149">
        <f>45.8*9.75</f>
        <v>446.54999999999995</v>
      </c>
      <c r="G276" s="124">
        <v>0.1</v>
      </c>
      <c r="H276" s="143">
        <f>F276*(1+G276)</f>
        <v>491.20499999999998</v>
      </c>
      <c r="I276" s="145" t="s">
        <v>18</v>
      </c>
      <c r="J276" s="127">
        <v>0</v>
      </c>
      <c r="K276" s="159">
        <f>J276*H276</f>
        <v>0</v>
      </c>
      <c r="L276" s="160"/>
    </row>
    <row r="277" spans="1:12" s="21" customFormat="1" x14ac:dyDescent="0.2">
      <c r="A277" s="129">
        <f>IF(F277&lt;&gt;"",1+MAX($A$7:A276),"")</f>
        <v>104</v>
      </c>
      <c r="B277" s="140" t="s">
        <v>105</v>
      </c>
      <c r="C277" s="140" t="s">
        <v>104</v>
      </c>
      <c r="D277" s="149"/>
      <c r="E277" s="163" t="s">
        <v>116</v>
      </c>
      <c r="F277" s="149">
        <f>45.8*9.75</f>
        <v>446.54999999999995</v>
      </c>
      <c r="G277" s="124">
        <v>0.1</v>
      </c>
      <c r="H277" s="143">
        <f>F277*(1+G277)</f>
        <v>491.20499999999998</v>
      </c>
      <c r="I277" s="145" t="s">
        <v>18</v>
      </c>
      <c r="J277" s="37">
        <f>J$202</f>
        <v>0</v>
      </c>
      <c r="K277" s="159">
        <f>J277*H277</f>
        <v>0</v>
      </c>
      <c r="L277" s="160"/>
    </row>
    <row r="278" spans="1:12" s="21" customFormat="1" x14ac:dyDescent="0.2">
      <c r="A278" s="129" t="str">
        <f>IF(F278&lt;&gt;"",1+MAX($A$7:A277),"")</f>
        <v/>
      </c>
      <c r="B278" s="140"/>
      <c r="C278" s="140"/>
      <c r="D278" s="141"/>
      <c r="E278" s="163"/>
      <c r="F278" s="149"/>
      <c r="G278" s="124"/>
      <c r="H278" s="143"/>
      <c r="I278" s="145"/>
      <c r="J278" s="37"/>
      <c r="K278" s="159"/>
      <c r="L278" s="160"/>
    </row>
    <row r="279" spans="1:12" s="21" customFormat="1" x14ac:dyDescent="0.2">
      <c r="A279" s="129" t="str">
        <f>IF(F279&lt;&gt;"",1+MAX($A$7:A278),"")</f>
        <v/>
      </c>
      <c r="B279" s="140"/>
      <c r="C279" s="140"/>
      <c r="D279" s="141"/>
      <c r="E279" s="158" t="s">
        <v>124</v>
      </c>
      <c r="F279" s="149"/>
      <c r="G279" s="144"/>
      <c r="H279" s="143"/>
      <c r="I279" s="145"/>
      <c r="J279" s="37"/>
      <c r="K279" s="159"/>
      <c r="L279" s="160"/>
    </row>
    <row r="280" spans="1:12" s="21" customFormat="1" ht="31.5" x14ac:dyDescent="0.2">
      <c r="A280" s="129">
        <f>IF(F280&lt;&gt;"",1+MAX($A$7:A279),"")</f>
        <v>105</v>
      </c>
      <c r="B280" s="140" t="s">
        <v>105</v>
      </c>
      <c r="C280" s="140" t="s">
        <v>104</v>
      </c>
      <c r="D280" s="149"/>
      <c r="E280" s="163" t="s">
        <v>65</v>
      </c>
      <c r="F280" s="149">
        <f>8*9.75*3</f>
        <v>234</v>
      </c>
      <c r="G280" s="124">
        <v>0.1</v>
      </c>
      <c r="H280" s="143">
        <f>F280*(1+G280)</f>
        <v>257.40000000000003</v>
      </c>
      <c r="I280" s="145" t="s">
        <v>18</v>
      </c>
      <c r="J280" s="37">
        <f>J$143</f>
        <v>0</v>
      </c>
      <c r="K280" s="159">
        <f>J280*H280</f>
        <v>0</v>
      </c>
      <c r="L280" s="160"/>
    </row>
    <row r="281" spans="1:12" s="21" customFormat="1" x14ac:dyDescent="0.2">
      <c r="A281" s="129" t="str">
        <f>IF(F281&lt;&gt;"",1+MAX($A$7:A280),"")</f>
        <v/>
      </c>
      <c r="B281" s="140"/>
      <c r="C281" s="140"/>
      <c r="D281" s="141"/>
      <c r="E281" s="165" t="s">
        <v>41</v>
      </c>
      <c r="F281" s="166"/>
      <c r="G281" s="167"/>
      <c r="H281" s="143">
        <f>ROUNDUP((H280)/32,0)</f>
        <v>9</v>
      </c>
      <c r="I281" s="145" t="s">
        <v>42</v>
      </c>
      <c r="J281" s="37"/>
      <c r="K281" s="159"/>
      <c r="L281" s="160"/>
    </row>
    <row r="282" spans="1:12" s="21" customFormat="1" x14ac:dyDescent="0.2">
      <c r="A282" s="129" t="str">
        <f>IF(F282&lt;&gt;"",1+MAX($A$7:A281),"")</f>
        <v/>
      </c>
      <c r="B282" s="140"/>
      <c r="C282" s="140"/>
      <c r="D282" s="141"/>
      <c r="E282" s="165" t="s">
        <v>43</v>
      </c>
      <c r="F282" s="166"/>
      <c r="G282" s="167"/>
      <c r="H282" s="143">
        <f>ROUNDUP(H281*24/500,0)</f>
        <v>1</v>
      </c>
      <c r="I282" s="145" t="s">
        <v>44</v>
      </c>
      <c r="J282" s="37"/>
      <c r="K282" s="159"/>
      <c r="L282" s="160"/>
    </row>
    <row r="283" spans="1:12" s="21" customFormat="1" x14ac:dyDescent="0.2">
      <c r="A283" s="129" t="str">
        <f>IF(F283&lt;&gt;"",1+MAX($A$7:A282),"")</f>
        <v/>
      </c>
      <c r="B283" s="140"/>
      <c r="C283" s="140"/>
      <c r="D283" s="141"/>
      <c r="E283" s="165" t="s">
        <v>45</v>
      </c>
      <c r="F283" s="166"/>
      <c r="G283" s="167"/>
      <c r="H283" s="168">
        <f>ROUNDUP((H280)/200,0)</f>
        <v>2</v>
      </c>
      <c r="I283" s="145" t="s">
        <v>46</v>
      </c>
      <c r="J283" s="37"/>
      <c r="K283" s="159"/>
      <c r="L283" s="160"/>
    </row>
    <row r="284" spans="1:12" s="21" customFormat="1" x14ac:dyDescent="0.2">
      <c r="A284" s="129" t="str">
        <f>IF(F284&lt;&gt;"",1+MAX($A$7:A283),"")</f>
        <v/>
      </c>
      <c r="B284" s="140"/>
      <c r="C284" s="140"/>
      <c r="D284" s="141"/>
      <c r="E284" s="165" t="s">
        <v>47</v>
      </c>
      <c r="F284" s="166"/>
      <c r="G284" s="167"/>
      <c r="H284" s="168">
        <f>ROUNDUP((H280)*5.25/1000,0)</f>
        <v>2</v>
      </c>
      <c r="I284" s="145" t="s">
        <v>48</v>
      </c>
      <c r="J284" s="37"/>
      <c r="K284" s="159"/>
      <c r="L284" s="160"/>
    </row>
    <row r="285" spans="1:12" s="21" customFormat="1" x14ac:dyDescent="0.2">
      <c r="A285" s="129">
        <f>IF(F285&lt;&gt;"",1+MAX($A$7:A284),"")</f>
        <v>106</v>
      </c>
      <c r="B285" s="140" t="s">
        <v>105</v>
      </c>
      <c r="C285" s="140" t="s">
        <v>104</v>
      </c>
      <c r="D285" s="149"/>
      <c r="E285" s="163" t="s">
        <v>101</v>
      </c>
      <c r="F285" s="149">
        <f>8*9.75</f>
        <v>78</v>
      </c>
      <c r="G285" s="124">
        <v>0.1</v>
      </c>
      <c r="H285" s="143">
        <f>F285*(1+G285)</f>
        <v>85.800000000000011</v>
      </c>
      <c r="I285" s="145" t="s">
        <v>18</v>
      </c>
      <c r="J285" s="37">
        <f>J$160</f>
        <v>0</v>
      </c>
      <c r="K285" s="159">
        <f>J285*H285</f>
        <v>0</v>
      </c>
      <c r="L285" s="160"/>
    </row>
    <row r="286" spans="1:12" s="21" customFormat="1" x14ac:dyDescent="0.2">
      <c r="A286" s="129" t="str">
        <f>IF(F286&lt;&gt;"",1+MAX($A$7:A285),"")</f>
        <v/>
      </c>
      <c r="B286" s="140"/>
      <c r="C286" s="140"/>
      <c r="D286" s="141"/>
      <c r="E286" s="165" t="s">
        <v>41</v>
      </c>
      <c r="F286" s="166"/>
      <c r="G286" s="167"/>
      <c r="H286" s="143">
        <f>ROUNDUP((H285)/32,0)</f>
        <v>3</v>
      </c>
      <c r="I286" s="145" t="s">
        <v>42</v>
      </c>
      <c r="J286" s="37"/>
      <c r="K286" s="159"/>
      <c r="L286" s="160"/>
    </row>
    <row r="287" spans="1:12" s="21" customFormat="1" x14ac:dyDescent="0.2">
      <c r="A287" s="129" t="str">
        <f>IF(F287&lt;&gt;"",1+MAX($A$7:A286),"")</f>
        <v/>
      </c>
      <c r="B287" s="140"/>
      <c r="C287" s="140"/>
      <c r="D287" s="141"/>
      <c r="E287" s="165" t="s">
        <v>43</v>
      </c>
      <c r="F287" s="166"/>
      <c r="G287" s="167"/>
      <c r="H287" s="143">
        <f>ROUNDUP(H286*24/500,0)</f>
        <v>1</v>
      </c>
      <c r="I287" s="145" t="s">
        <v>44</v>
      </c>
      <c r="J287" s="37"/>
      <c r="K287" s="159"/>
      <c r="L287" s="160"/>
    </row>
    <row r="288" spans="1:12" s="21" customFormat="1" x14ac:dyDescent="0.2">
      <c r="A288" s="129" t="str">
        <f>IF(F288&lt;&gt;"",1+MAX($A$7:A287),"")</f>
        <v/>
      </c>
      <c r="B288" s="140"/>
      <c r="C288" s="140"/>
      <c r="D288" s="141"/>
      <c r="E288" s="165" t="s">
        <v>45</v>
      </c>
      <c r="F288" s="166"/>
      <c r="G288" s="167"/>
      <c r="H288" s="168">
        <f>ROUNDUP((H285)/200,0)</f>
        <v>1</v>
      </c>
      <c r="I288" s="145" t="s">
        <v>46</v>
      </c>
      <c r="J288" s="37"/>
      <c r="K288" s="159"/>
      <c r="L288" s="160"/>
    </row>
    <row r="289" spans="1:12" s="21" customFormat="1" x14ac:dyDescent="0.2">
      <c r="A289" s="129" t="str">
        <f>IF(F289&lt;&gt;"",1+MAX($A$7:A288),"")</f>
        <v/>
      </c>
      <c r="B289" s="140"/>
      <c r="C289" s="140"/>
      <c r="D289" s="141"/>
      <c r="E289" s="165" t="s">
        <v>47</v>
      </c>
      <c r="F289" s="166"/>
      <c r="G289" s="167"/>
      <c r="H289" s="168">
        <f>ROUNDUP((H285)*5.25/1000,0)</f>
        <v>1</v>
      </c>
      <c r="I289" s="145" t="s">
        <v>48</v>
      </c>
      <c r="J289" s="37"/>
      <c r="K289" s="159"/>
      <c r="L289" s="160"/>
    </row>
    <row r="290" spans="1:12" s="21" customFormat="1" x14ac:dyDescent="0.2">
      <c r="A290" s="129">
        <f>IF(F290&lt;&gt;"",1+MAX($A$7:A289),"")</f>
        <v>107</v>
      </c>
      <c r="B290" s="140" t="s">
        <v>105</v>
      </c>
      <c r="C290" s="140" t="s">
        <v>104</v>
      </c>
      <c r="D290" s="141"/>
      <c r="E290" s="163" t="s">
        <v>102</v>
      </c>
      <c r="F290" s="149">
        <f>8*4</f>
        <v>32</v>
      </c>
      <c r="G290" s="124">
        <v>0.1</v>
      </c>
      <c r="H290" s="143">
        <f>F290*(1+G290)</f>
        <v>35.200000000000003</v>
      </c>
      <c r="I290" s="145" t="s">
        <v>15</v>
      </c>
      <c r="J290" s="37">
        <f>J$148</f>
        <v>0</v>
      </c>
      <c r="K290" s="159">
        <f>J290*H290</f>
        <v>0</v>
      </c>
      <c r="L290" s="160"/>
    </row>
    <row r="291" spans="1:12" s="21" customFormat="1" x14ac:dyDescent="0.2">
      <c r="A291" s="129">
        <f>IF(F291&lt;&gt;"",1+MAX($A$7:A290),"")</f>
        <v>108</v>
      </c>
      <c r="B291" s="140" t="s">
        <v>105</v>
      </c>
      <c r="C291" s="140" t="s">
        <v>104</v>
      </c>
      <c r="D291" s="149"/>
      <c r="E291" s="163" t="s">
        <v>112</v>
      </c>
      <c r="F291" s="149">
        <f>8*9.75</f>
        <v>78</v>
      </c>
      <c r="G291" s="124">
        <v>0.1</v>
      </c>
      <c r="H291" s="143">
        <f>F291*(1+G291)</f>
        <v>85.800000000000011</v>
      </c>
      <c r="I291" s="145" t="s">
        <v>18</v>
      </c>
      <c r="J291" s="37">
        <f>J$226</f>
        <v>0</v>
      </c>
      <c r="K291" s="159">
        <f>J291*H291</f>
        <v>0</v>
      </c>
      <c r="L291" s="160"/>
    </row>
    <row r="292" spans="1:12" s="21" customFormat="1" x14ac:dyDescent="0.2">
      <c r="A292" s="129">
        <f>IF(F292&lt;&gt;"",1+MAX($A$7:A291),"")</f>
        <v>109</v>
      </c>
      <c r="B292" s="140" t="s">
        <v>105</v>
      </c>
      <c r="C292" s="140" t="s">
        <v>104</v>
      </c>
      <c r="D292" s="149"/>
      <c r="E292" s="163" t="s">
        <v>116</v>
      </c>
      <c r="F292" s="149">
        <f>8*9.75</f>
        <v>78</v>
      </c>
      <c r="G292" s="124">
        <v>0.1</v>
      </c>
      <c r="H292" s="143">
        <f>F292*(1+G292)</f>
        <v>85.800000000000011</v>
      </c>
      <c r="I292" s="145" t="s">
        <v>18</v>
      </c>
      <c r="J292" s="37">
        <f>J$202</f>
        <v>0</v>
      </c>
      <c r="K292" s="159">
        <f>J292*H292</f>
        <v>0</v>
      </c>
      <c r="L292" s="160"/>
    </row>
    <row r="293" spans="1:12" s="21" customFormat="1" x14ac:dyDescent="0.2">
      <c r="A293" s="129" t="str">
        <f>IF(F293&lt;&gt;"",1+MAX($A$7:A292),"")</f>
        <v/>
      </c>
      <c r="B293" s="140"/>
      <c r="C293" s="140"/>
      <c r="D293" s="141"/>
      <c r="E293" s="163"/>
      <c r="F293" s="149"/>
      <c r="G293" s="124"/>
      <c r="H293" s="143"/>
      <c r="I293" s="145"/>
      <c r="J293" s="37"/>
      <c r="K293" s="159"/>
      <c r="L293" s="160"/>
    </row>
    <row r="294" spans="1:12" s="21" customFormat="1" x14ac:dyDescent="0.2">
      <c r="A294" s="129" t="str">
        <f>IF(F294&lt;&gt;"",1+MAX($A$7:A293),"")</f>
        <v/>
      </c>
      <c r="B294" s="140"/>
      <c r="C294" s="140"/>
      <c r="D294" s="141"/>
      <c r="E294" s="158" t="s">
        <v>125</v>
      </c>
      <c r="F294" s="149"/>
      <c r="G294" s="144"/>
      <c r="H294" s="143"/>
      <c r="I294" s="145"/>
      <c r="J294" s="37"/>
      <c r="K294" s="159"/>
      <c r="L294" s="160"/>
    </row>
    <row r="295" spans="1:12" s="21" customFormat="1" x14ac:dyDescent="0.2">
      <c r="A295" s="129">
        <f>IF(F295&lt;&gt;"",1+MAX($A$7:A294),"")</f>
        <v>110</v>
      </c>
      <c r="B295" s="140" t="s">
        <v>105</v>
      </c>
      <c r="C295" s="140" t="s">
        <v>104</v>
      </c>
      <c r="D295" s="149"/>
      <c r="E295" s="163" t="s">
        <v>115</v>
      </c>
      <c r="F295" s="149">
        <f>37.3*9.75</f>
        <v>363.67499999999995</v>
      </c>
      <c r="G295" s="124">
        <v>0.1</v>
      </c>
      <c r="H295" s="143">
        <f>F295*(1+G295)</f>
        <v>400.04249999999996</v>
      </c>
      <c r="I295" s="145" t="s">
        <v>18</v>
      </c>
      <c r="J295" s="37">
        <f>J$143</f>
        <v>0</v>
      </c>
      <c r="K295" s="159">
        <f>J295*H295</f>
        <v>0</v>
      </c>
      <c r="L295" s="160"/>
    </row>
    <row r="296" spans="1:12" s="21" customFormat="1" x14ac:dyDescent="0.2">
      <c r="A296" s="129" t="str">
        <f>IF(F296&lt;&gt;"",1+MAX($A$7:A295),"")</f>
        <v/>
      </c>
      <c r="B296" s="140"/>
      <c r="C296" s="140"/>
      <c r="D296" s="141"/>
      <c r="E296" s="165" t="s">
        <v>41</v>
      </c>
      <c r="F296" s="166"/>
      <c r="G296" s="167"/>
      <c r="H296" s="143">
        <f>ROUNDUP((H295)/32,0)</f>
        <v>13</v>
      </c>
      <c r="I296" s="145" t="s">
        <v>42</v>
      </c>
      <c r="J296" s="37"/>
      <c r="K296" s="159"/>
      <c r="L296" s="160"/>
    </row>
    <row r="297" spans="1:12" s="21" customFormat="1" x14ac:dyDescent="0.2">
      <c r="A297" s="129" t="str">
        <f>IF(F297&lt;&gt;"",1+MAX($A$7:A296),"")</f>
        <v/>
      </c>
      <c r="B297" s="140"/>
      <c r="C297" s="140"/>
      <c r="D297" s="141"/>
      <c r="E297" s="165" t="s">
        <v>43</v>
      </c>
      <c r="F297" s="166"/>
      <c r="G297" s="167"/>
      <c r="H297" s="143">
        <f>ROUNDUP(H296*24/500,0)</f>
        <v>1</v>
      </c>
      <c r="I297" s="145" t="s">
        <v>44</v>
      </c>
      <c r="J297" s="37"/>
      <c r="K297" s="159"/>
      <c r="L297" s="160"/>
    </row>
    <row r="298" spans="1:12" s="21" customFormat="1" x14ac:dyDescent="0.2">
      <c r="A298" s="129" t="str">
        <f>IF(F298&lt;&gt;"",1+MAX($A$7:A297),"")</f>
        <v/>
      </c>
      <c r="B298" s="140"/>
      <c r="C298" s="140"/>
      <c r="D298" s="141"/>
      <c r="E298" s="165" t="s">
        <v>45</v>
      </c>
      <c r="F298" s="166"/>
      <c r="G298" s="167"/>
      <c r="H298" s="168">
        <f>ROUNDUP((H295)/200,0)</f>
        <v>3</v>
      </c>
      <c r="I298" s="145" t="s">
        <v>46</v>
      </c>
      <c r="J298" s="37"/>
      <c r="K298" s="159"/>
      <c r="L298" s="160"/>
    </row>
    <row r="299" spans="1:12" s="21" customFormat="1" x14ac:dyDescent="0.2">
      <c r="A299" s="129" t="str">
        <f>IF(F299&lt;&gt;"",1+MAX($A$7:A298),"")</f>
        <v/>
      </c>
      <c r="B299" s="140"/>
      <c r="C299" s="140"/>
      <c r="D299" s="141"/>
      <c r="E299" s="165" t="s">
        <v>47</v>
      </c>
      <c r="F299" s="166"/>
      <c r="G299" s="167"/>
      <c r="H299" s="168">
        <f>ROUNDUP((H295)*5.25/1000,0)</f>
        <v>3</v>
      </c>
      <c r="I299" s="145" t="s">
        <v>48</v>
      </c>
      <c r="J299" s="37"/>
      <c r="K299" s="159"/>
      <c r="L299" s="160"/>
    </row>
    <row r="300" spans="1:12" s="21" customFormat="1" x14ac:dyDescent="0.2">
      <c r="A300" s="129">
        <f>IF(F300&lt;&gt;"",1+MAX($A$7:A299),"")</f>
        <v>111</v>
      </c>
      <c r="B300" s="140" t="s">
        <v>105</v>
      </c>
      <c r="C300" s="140" t="s">
        <v>104</v>
      </c>
      <c r="D300" s="149"/>
      <c r="E300" s="163" t="s">
        <v>101</v>
      </c>
      <c r="F300" s="149">
        <f>41.2*9.75</f>
        <v>401.70000000000005</v>
      </c>
      <c r="G300" s="124">
        <v>0.1</v>
      </c>
      <c r="H300" s="143">
        <f>F300*(1+G300)</f>
        <v>441.87000000000006</v>
      </c>
      <c r="I300" s="145" t="s">
        <v>18</v>
      </c>
      <c r="J300" s="37">
        <f>J$160</f>
        <v>0</v>
      </c>
      <c r="K300" s="159">
        <f>J300*H300</f>
        <v>0</v>
      </c>
      <c r="L300" s="160"/>
    </row>
    <row r="301" spans="1:12" s="21" customFormat="1" x14ac:dyDescent="0.2">
      <c r="A301" s="129" t="str">
        <f>IF(F301&lt;&gt;"",1+MAX($A$7:A300),"")</f>
        <v/>
      </c>
      <c r="B301" s="140"/>
      <c r="C301" s="140"/>
      <c r="D301" s="141"/>
      <c r="E301" s="165" t="s">
        <v>41</v>
      </c>
      <c r="F301" s="166"/>
      <c r="G301" s="167"/>
      <c r="H301" s="143">
        <f>ROUNDUP((H300)/32,0)</f>
        <v>14</v>
      </c>
      <c r="I301" s="145" t="s">
        <v>42</v>
      </c>
      <c r="J301" s="37"/>
      <c r="K301" s="159"/>
      <c r="L301" s="160"/>
    </row>
    <row r="302" spans="1:12" s="21" customFormat="1" x14ac:dyDescent="0.2">
      <c r="A302" s="129" t="str">
        <f>IF(F302&lt;&gt;"",1+MAX($A$7:A301),"")</f>
        <v/>
      </c>
      <c r="B302" s="140"/>
      <c r="C302" s="140"/>
      <c r="D302" s="141"/>
      <c r="E302" s="165" t="s">
        <v>43</v>
      </c>
      <c r="F302" s="166"/>
      <c r="G302" s="167"/>
      <c r="H302" s="143">
        <f>ROUNDUP(H301*24/500,0)</f>
        <v>1</v>
      </c>
      <c r="I302" s="145" t="s">
        <v>44</v>
      </c>
      <c r="J302" s="37"/>
      <c r="K302" s="159"/>
      <c r="L302" s="160"/>
    </row>
    <row r="303" spans="1:12" s="21" customFormat="1" x14ac:dyDescent="0.2">
      <c r="A303" s="129" t="str">
        <f>IF(F303&lt;&gt;"",1+MAX($A$7:A302),"")</f>
        <v/>
      </c>
      <c r="B303" s="140"/>
      <c r="C303" s="140"/>
      <c r="D303" s="141"/>
      <c r="E303" s="165" t="s">
        <v>45</v>
      </c>
      <c r="F303" s="166"/>
      <c r="G303" s="167"/>
      <c r="H303" s="168">
        <f>ROUNDUP((H300)/200,0)</f>
        <v>3</v>
      </c>
      <c r="I303" s="145" t="s">
        <v>46</v>
      </c>
      <c r="J303" s="37"/>
      <c r="K303" s="159"/>
      <c r="L303" s="160"/>
    </row>
    <row r="304" spans="1:12" s="21" customFormat="1" x14ac:dyDescent="0.2">
      <c r="A304" s="129" t="str">
        <f>IF(F304&lt;&gt;"",1+MAX($A$7:A303),"")</f>
        <v/>
      </c>
      <c r="B304" s="140"/>
      <c r="C304" s="140"/>
      <c r="D304" s="141"/>
      <c r="E304" s="165" t="s">
        <v>47</v>
      </c>
      <c r="F304" s="166"/>
      <c r="G304" s="167"/>
      <c r="H304" s="168">
        <f>ROUNDUP((H300)*5.25/1000,0)</f>
        <v>3</v>
      </c>
      <c r="I304" s="145" t="s">
        <v>48</v>
      </c>
      <c r="J304" s="37"/>
      <c r="K304" s="159"/>
      <c r="L304" s="160"/>
    </row>
    <row r="305" spans="1:12" s="21" customFormat="1" x14ac:dyDescent="0.2">
      <c r="A305" s="129">
        <f>IF(F305&lt;&gt;"",1+MAX($A$7:A304),"")</f>
        <v>112</v>
      </c>
      <c r="B305" s="140" t="s">
        <v>105</v>
      </c>
      <c r="C305" s="140" t="s">
        <v>104</v>
      </c>
      <c r="D305" s="141"/>
      <c r="E305" s="163" t="s">
        <v>102</v>
      </c>
      <c r="F305" s="149">
        <f>78.5*2</f>
        <v>157</v>
      </c>
      <c r="G305" s="124">
        <v>0.1</v>
      </c>
      <c r="H305" s="143">
        <f>F305*(1+G305)</f>
        <v>172.70000000000002</v>
      </c>
      <c r="I305" s="145" t="s">
        <v>15</v>
      </c>
      <c r="J305" s="37">
        <f>J$148</f>
        <v>0</v>
      </c>
      <c r="K305" s="159">
        <f>J305*H305</f>
        <v>0</v>
      </c>
      <c r="L305" s="160"/>
    </row>
    <row r="306" spans="1:12" s="21" customFormat="1" x14ac:dyDescent="0.2">
      <c r="A306" s="129">
        <f>IF(F306&lt;&gt;"",1+MAX($A$7:A305),"")</f>
        <v>113</v>
      </c>
      <c r="B306" s="140" t="s">
        <v>105</v>
      </c>
      <c r="C306" s="140" t="s">
        <v>104</v>
      </c>
      <c r="D306" s="149"/>
      <c r="E306" s="163" t="s">
        <v>126</v>
      </c>
      <c r="F306" s="149">
        <f>78.5*9.75</f>
        <v>765.375</v>
      </c>
      <c r="G306" s="124">
        <v>0.1</v>
      </c>
      <c r="H306" s="143">
        <f>F306*(1+G306)</f>
        <v>841.91250000000002</v>
      </c>
      <c r="I306" s="145" t="s">
        <v>18</v>
      </c>
      <c r="J306" s="37">
        <f>J$149</f>
        <v>0</v>
      </c>
      <c r="K306" s="159">
        <f>J306*H306</f>
        <v>0</v>
      </c>
      <c r="L306" s="160"/>
    </row>
    <row r="307" spans="1:12" s="21" customFormat="1" x14ac:dyDescent="0.2">
      <c r="A307" s="129" t="str">
        <f>IF(F307&lt;&gt;"",1+MAX($A$7:A306),"")</f>
        <v/>
      </c>
      <c r="B307" s="140"/>
      <c r="C307" s="140"/>
      <c r="D307" s="141"/>
      <c r="E307" s="165" t="s">
        <v>49</v>
      </c>
      <c r="F307" s="149"/>
      <c r="G307" s="124"/>
      <c r="H307" s="143">
        <f>(78.5/1.167+1)</f>
        <v>68.266495287060835</v>
      </c>
      <c r="I307" s="145" t="s">
        <v>20</v>
      </c>
      <c r="J307" s="37"/>
      <c r="K307" s="159"/>
      <c r="L307" s="160"/>
    </row>
    <row r="308" spans="1:12" s="21" customFormat="1" x14ac:dyDescent="0.2">
      <c r="A308" s="129">
        <f>IF(F308&lt;&gt;"",1+MAX($A$7:A307),"")</f>
        <v>114</v>
      </c>
      <c r="B308" s="140" t="s">
        <v>105</v>
      </c>
      <c r="C308" s="140" t="s">
        <v>104</v>
      </c>
      <c r="D308" s="141"/>
      <c r="E308" s="163" t="s">
        <v>127</v>
      </c>
      <c r="F308" s="149">
        <f>78.5*2</f>
        <v>157</v>
      </c>
      <c r="G308" s="124">
        <v>0.1</v>
      </c>
      <c r="H308" s="143">
        <f>F308*(1+G308)</f>
        <v>172.70000000000002</v>
      </c>
      <c r="I308" s="145" t="s">
        <v>15</v>
      </c>
      <c r="J308" s="37">
        <f>J$151</f>
        <v>0</v>
      </c>
      <c r="K308" s="159">
        <f>J308*H308</f>
        <v>0</v>
      </c>
      <c r="L308" s="160"/>
    </row>
    <row r="309" spans="1:12" s="21" customFormat="1" x14ac:dyDescent="0.2">
      <c r="A309" s="129">
        <f>IF(F309&lt;&gt;"",1+MAX($A$7:A308),"")</f>
        <v>115</v>
      </c>
      <c r="B309" s="140" t="s">
        <v>105</v>
      </c>
      <c r="C309" s="140" t="s">
        <v>104</v>
      </c>
      <c r="D309" s="141"/>
      <c r="E309" s="163" t="s">
        <v>128</v>
      </c>
      <c r="F309" s="149">
        <v>78.5</v>
      </c>
      <c r="G309" s="124">
        <v>0.1</v>
      </c>
      <c r="H309" s="143">
        <f>F309*(1+G309)</f>
        <v>86.350000000000009</v>
      </c>
      <c r="I309" s="145" t="s">
        <v>15</v>
      </c>
      <c r="J309" s="127">
        <v>0</v>
      </c>
      <c r="K309" s="159">
        <f>J309*H309</f>
        <v>0</v>
      </c>
      <c r="L309" s="160"/>
    </row>
    <row r="310" spans="1:12" s="21" customFormat="1" x14ac:dyDescent="0.2">
      <c r="A310" s="129" t="str">
        <f>IF(F310&lt;&gt;"",1+MAX($A$7:A309),"")</f>
        <v/>
      </c>
      <c r="B310" s="140"/>
      <c r="C310" s="140"/>
      <c r="D310" s="141"/>
      <c r="E310" s="163"/>
      <c r="F310" s="149"/>
      <c r="G310" s="124"/>
      <c r="H310" s="143"/>
      <c r="I310" s="145"/>
      <c r="J310" s="37"/>
      <c r="K310" s="159"/>
      <c r="L310" s="160"/>
    </row>
    <row r="311" spans="1:12" s="21" customFormat="1" x14ac:dyDescent="0.2">
      <c r="A311" s="129" t="str">
        <f>IF(F311&lt;&gt;"",1+MAX($A$7:A310),"")</f>
        <v/>
      </c>
      <c r="B311" s="140"/>
      <c r="C311" s="140"/>
      <c r="D311" s="141"/>
      <c r="E311" s="158" t="s">
        <v>129</v>
      </c>
      <c r="F311" s="149"/>
      <c r="G311" s="144"/>
      <c r="H311" s="143"/>
      <c r="I311" s="145"/>
      <c r="J311" s="37"/>
      <c r="K311" s="159"/>
      <c r="L311" s="160"/>
    </row>
    <row r="312" spans="1:12" s="21" customFormat="1" x14ac:dyDescent="0.2">
      <c r="A312" s="129">
        <f>IF(F312&lt;&gt;"",1+MAX($A$7:A311),"")</f>
        <v>116</v>
      </c>
      <c r="B312" s="140" t="s">
        <v>105</v>
      </c>
      <c r="C312" s="140" t="s">
        <v>104</v>
      </c>
      <c r="D312" s="149"/>
      <c r="E312" s="163" t="s">
        <v>115</v>
      </c>
      <c r="F312" s="149">
        <f>132.9*9.75</f>
        <v>1295.7750000000001</v>
      </c>
      <c r="G312" s="124">
        <v>0.1</v>
      </c>
      <c r="H312" s="143">
        <f>F312*(1+G312)</f>
        <v>1425.3525000000002</v>
      </c>
      <c r="I312" s="145" t="s">
        <v>18</v>
      </c>
      <c r="J312" s="37">
        <f>J$143</f>
        <v>0</v>
      </c>
      <c r="K312" s="159">
        <f>J312*H312</f>
        <v>0</v>
      </c>
      <c r="L312" s="160"/>
    </row>
    <row r="313" spans="1:12" s="21" customFormat="1" x14ac:dyDescent="0.2">
      <c r="A313" s="129" t="str">
        <f>IF(F313&lt;&gt;"",1+MAX($A$7:A312),"")</f>
        <v/>
      </c>
      <c r="B313" s="140"/>
      <c r="C313" s="140"/>
      <c r="D313" s="141"/>
      <c r="E313" s="165" t="s">
        <v>41</v>
      </c>
      <c r="F313" s="166"/>
      <c r="G313" s="167"/>
      <c r="H313" s="143">
        <f>ROUNDUP((H312)/32,0)</f>
        <v>45</v>
      </c>
      <c r="I313" s="145" t="s">
        <v>42</v>
      </c>
      <c r="J313" s="37"/>
      <c r="K313" s="159"/>
      <c r="L313" s="160"/>
    </row>
    <row r="314" spans="1:12" s="21" customFormat="1" x14ac:dyDescent="0.2">
      <c r="A314" s="129" t="str">
        <f>IF(F314&lt;&gt;"",1+MAX($A$7:A313),"")</f>
        <v/>
      </c>
      <c r="B314" s="140"/>
      <c r="C314" s="140"/>
      <c r="D314" s="141"/>
      <c r="E314" s="165" t="s">
        <v>43</v>
      </c>
      <c r="F314" s="166"/>
      <c r="G314" s="167"/>
      <c r="H314" s="143">
        <f>ROUNDUP(H313*24/500,0)</f>
        <v>3</v>
      </c>
      <c r="I314" s="145" t="s">
        <v>44</v>
      </c>
      <c r="J314" s="37"/>
      <c r="K314" s="159"/>
      <c r="L314" s="160"/>
    </row>
    <row r="315" spans="1:12" s="21" customFormat="1" x14ac:dyDescent="0.2">
      <c r="A315" s="129" t="str">
        <f>IF(F315&lt;&gt;"",1+MAX($A$7:A314),"")</f>
        <v/>
      </c>
      <c r="B315" s="140"/>
      <c r="C315" s="140"/>
      <c r="D315" s="141"/>
      <c r="E315" s="165" t="s">
        <v>45</v>
      </c>
      <c r="F315" s="166"/>
      <c r="G315" s="167"/>
      <c r="H315" s="168">
        <f>ROUNDUP((H312)/200,0)</f>
        <v>8</v>
      </c>
      <c r="I315" s="145" t="s">
        <v>46</v>
      </c>
      <c r="J315" s="37"/>
      <c r="K315" s="159"/>
      <c r="L315" s="160"/>
    </row>
    <row r="316" spans="1:12" s="21" customFormat="1" x14ac:dyDescent="0.2">
      <c r="A316" s="129" t="str">
        <f>IF(F316&lt;&gt;"",1+MAX($A$7:A315),"")</f>
        <v/>
      </c>
      <c r="B316" s="140"/>
      <c r="C316" s="140"/>
      <c r="D316" s="141"/>
      <c r="E316" s="165" t="s">
        <v>47</v>
      </c>
      <c r="F316" s="166"/>
      <c r="G316" s="167"/>
      <c r="H316" s="168">
        <f>ROUNDUP((H312)*5.25/1000,0)</f>
        <v>8</v>
      </c>
      <c r="I316" s="145" t="s">
        <v>48</v>
      </c>
      <c r="J316" s="37"/>
      <c r="K316" s="159"/>
      <c r="L316" s="160"/>
    </row>
    <row r="317" spans="1:12" s="21" customFormat="1" x14ac:dyDescent="0.2">
      <c r="A317" s="129">
        <f>IF(F317&lt;&gt;"",1+MAX($A$7:A316),"")</f>
        <v>117</v>
      </c>
      <c r="B317" s="140" t="s">
        <v>105</v>
      </c>
      <c r="C317" s="140" t="s">
        <v>104</v>
      </c>
      <c r="D317" s="149"/>
      <c r="E317" s="163" t="s">
        <v>101</v>
      </c>
      <c r="F317" s="149">
        <f>5.6*9.75</f>
        <v>54.599999999999994</v>
      </c>
      <c r="G317" s="124">
        <v>0.1</v>
      </c>
      <c r="H317" s="143">
        <f>F317*(1+G317)</f>
        <v>60.059999999999995</v>
      </c>
      <c r="I317" s="145" t="s">
        <v>18</v>
      </c>
      <c r="J317" s="37">
        <f>J$160</f>
        <v>0</v>
      </c>
      <c r="K317" s="159">
        <f>J317*H317</f>
        <v>0</v>
      </c>
      <c r="L317" s="160"/>
    </row>
    <row r="318" spans="1:12" s="21" customFormat="1" x14ac:dyDescent="0.2">
      <c r="A318" s="129" t="str">
        <f>IF(F318&lt;&gt;"",1+MAX($A$7:A317),"")</f>
        <v/>
      </c>
      <c r="B318" s="140"/>
      <c r="C318" s="140"/>
      <c r="D318" s="141"/>
      <c r="E318" s="165" t="s">
        <v>41</v>
      </c>
      <c r="F318" s="166"/>
      <c r="G318" s="167"/>
      <c r="H318" s="143">
        <f>ROUNDUP((H317)/32,0)</f>
        <v>2</v>
      </c>
      <c r="I318" s="145" t="s">
        <v>42</v>
      </c>
      <c r="J318" s="37"/>
      <c r="K318" s="159"/>
      <c r="L318" s="160"/>
    </row>
    <row r="319" spans="1:12" s="21" customFormat="1" x14ac:dyDescent="0.2">
      <c r="A319" s="129" t="str">
        <f>IF(F319&lt;&gt;"",1+MAX($A$7:A318),"")</f>
        <v/>
      </c>
      <c r="B319" s="140"/>
      <c r="C319" s="140"/>
      <c r="D319" s="141"/>
      <c r="E319" s="165" t="s">
        <v>43</v>
      </c>
      <c r="F319" s="166"/>
      <c r="G319" s="167"/>
      <c r="H319" s="143">
        <f>ROUNDUP(H318*24/500,0)</f>
        <v>1</v>
      </c>
      <c r="I319" s="145" t="s">
        <v>44</v>
      </c>
      <c r="J319" s="37"/>
      <c r="K319" s="159"/>
      <c r="L319" s="160"/>
    </row>
    <row r="320" spans="1:12" s="21" customFormat="1" x14ac:dyDescent="0.2">
      <c r="A320" s="129" t="str">
        <f>IF(F320&lt;&gt;"",1+MAX($A$7:A319),"")</f>
        <v/>
      </c>
      <c r="B320" s="140"/>
      <c r="C320" s="140"/>
      <c r="D320" s="141"/>
      <c r="E320" s="165" t="s">
        <v>45</v>
      </c>
      <c r="F320" s="166"/>
      <c r="G320" s="167"/>
      <c r="H320" s="168">
        <f>ROUNDUP((H317)/200,0)</f>
        <v>1</v>
      </c>
      <c r="I320" s="145" t="s">
        <v>46</v>
      </c>
      <c r="J320" s="37"/>
      <c r="K320" s="159"/>
      <c r="L320" s="160"/>
    </row>
    <row r="321" spans="1:12" s="21" customFormat="1" x14ac:dyDescent="0.2">
      <c r="A321" s="129" t="str">
        <f>IF(F321&lt;&gt;"",1+MAX($A$7:A320),"")</f>
        <v/>
      </c>
      <c r="B321" s="140"/>
      <c r="C321" s="140"/>
      <c r="D321" s="141"/>
      <c r="E321" s="165" t="s">
        <v>47</v>
      </c>
      <c r="F321" s="166"/>
      <c r="G321" s="167"/>
      <c r="H321" s="168">
        <f>ROUNDUP((H317)*5.25/1000,0)</f>
        <v>1</v>
      </c>
      <c r="I321" s="145" t="s">
        <v>48</v>
      </c>
      <c r="J321" s="37"/>
      <c r="K321" s="159"/>
      <c r="L321" s="160"/>
    </row>
    <row r="322" spans="1:12" s="21" customFormat="1" x14ac:dyDescent="0.2">
      <c r="A322" s="129">
        <f>IF(F322&lt;&gt;"",1+MAX($A$7:A321),"")</f>
        <v>118</v>
      </c>
      <c r="B322" s="140" t="s">
        <v>105</v>
      </c>
      <c r="C322" s="140" t="s">
        <v>104</v>
      </c>
      <c r="D322" s="141"/>
      <c r="E322" s="163" t="s">
        <v>102</v>
      </c>
      <c r="F322" s="149">
        <f>138.5*2</f>
        <v>277</v>
      </c>
      <c r="G322" s="124">
        <v>0.1</v>
      </c>
      <c r="H322" s="143">
        <f>F322*(1+G322)</f>
        <v>304.70000000000005</v>
      </c>
      <c r="I322" s="145" t="s">
        <v>15</v>
      </c>
      <c r="J322" s="37">
        <f>J$148</f>
        <v>0</v>
      </c>
      <c r="K322" s="159">
        <f>J322*H322</f>
        <v>0</v>
      </c>
      <c r="L322" s="160"/>
    </row>
    <row r="323" spans="1:12" s="21" customFormat="1" x14ac:dyDescent="0.2">
      <c r="A323" s="129">
        <f>IF(F323&lt;&gt;"",1+MAX($A$7:A322),"")</f>
        <v>119</v>
      </c>
      <c r="B323" s="140" t="s">
        <v>105</v>
      </c>
      <c r="C323" s="140" t="s">
        <v>104</v>
      </c>
      <c r="D323" s="149"/>
      <c r="E323" s="163" t="s">
        <v>130</v>
      </c>
      <c r="F323" s="149">
        <f>138.5*9.75</f>
        <v>1350.375</v>
      </c>
      <c r="G323" s="124">
        <v>0.1</v>
      </c>
      <c r="H323" s="143">
        <f>F323*(1+G323)</f>
        <v>1485.4125000000001</v>
      </c>
      <c r="I323" s="145" t="s">
        <v>18</v>
      </c>
      <c r="J323" s="127">
        <v>0</v>
      </c>
      <c r="K323" s="159">
        <f>J323*H323</f>
        <v>0</v>
      </c>
      <c r="L323" s="160"/>
    </row>
    <row r="324" spans="1:12" s="21" customFormat="1" x14ac:dyDescent="0.2">
      <c r="A324" s="129" t="str">
        <f>IF(F324&lt;&gt;"",1+MAX($A$7:A323),"")</f>
        <v/>
      </c>
      <c r="B324" s="140"/>
      <c r="C324" s="140"/>
      <c r="D324" s="141"/>
      <c r="E324" s="165" t="s">
        <v>49</v>
      </c>
      <c r="F324" s="149"/>
      <c r="G324" s="124"/>
      <c r="H324" s="143">
        <f>(138.5/1.167+1)</f>
        <v>119.68037703513282</v>
      </c>
      <c r="I324" s="145" t="s">
        <v>20</v>
      </c>
      <c r="J324" s="37"/>
      <c r="K324" s="159"/>
      <c r="L324" s="160"/>
    </row>
    <row r="325" spans="1:12" s="21" customFormat="1" x14ac:dyDescent="0.2">
      <c r="A325" s="129">
        <f>IF(F325&lt;&gt;"",1+MAX($A$7:A324),"")</f>
        <v>120</v>
      </c>
      <c r="B325" s="140" t="s">
        <v>105</v>
      </c>
      <c r="C325" s="140" t="s">
        <v>104</v>
      </c>
      <c r="D325" s="141"/>
      <c r="E325" s="163" t="s">
        <v>131</v>
      </c>
      <c r="F325" s="149">
        <f>138.5*2</f>
        <v>277</v>
      </c>
      <c r="G325" s="124">
        <v>0.1</v>
      </c>
      <c r="H325" s="143">
        <f>F325*(1+G325)</f>
        <v>304.70000000000005</v>
      </c>
      <c r="I325" s="145" t="s">
        <v>15</v>
      </c>
      <c r="J325" s="127">
        <v>0</v>
      </c>
      <c r="K325" s="159">
        <f>J325*H325</f>
        <v>0</v>
      </c>
      <c r="L325" s="160"/>
    </row>
    <row r="326" spans="1:12" s="21" customFormat="1" x14ac:dyDescent="0.2">
      <c r="A326" s="129">
        <f>IF(F326&lt;&gt;"",1+MAX($A$7:A325),"")</f>
        <v>121</v>
      </c>
      <c r="B326" s="140" t="s">
        <v>105</v>
      </c>
      <c r="C326" s="140" t="s">
        <v>104</v>
      </c>
      <c r="D326" s="141"/>
      <c r="E326" s="163" t="s">
        <v>128</v>
      </c>
      <c r="F326" s="149">
        <f>138.5</f>
        <v>138.5</v>
      </c>
      <c r="G326" s="124">
        <v>0.1</v>
      </c>
      <c r="H326" s="143">
        <f>F326*(1+G326)</f>
        <v>152.35000000000002</v>
      </c>
      <c r="I326" s="145" t="s">
        <v>15</v>
      </c>
      <c r="J326" s="37">
        <f>J$309</f>
        <v>0</v>
      </c>
      <c r="K326" s="159">
        <f>J326*H326</f>
        <v>0</v>
      </c>
      <c r="L326" s="160"/>
    </row>
    <row r="327" spans="1:12" s="21" customFormat="1" x14ac:dyDescent="0.2">
      <c r="A327" s="129" t="str">
        <f>IF(F327&lt;&gt;"",1+MAX($A$7:A326),"")</f>
        <v/>
      </c>
      <c r="B327" s="140"/>
      <c r="C327" s="140"/>
      <c r="D327" s="141"/>
      <c r="E327" s="163"/>
      <c r="F327" s="149"/>
      <c r="G327" s="124"/>
      <c r="H327" s="143"/>
      <c r="I327" s="145"/>
      <c r="J327" s="37"/>
      <c r="K327" s="159"/>
      <c r="L327" s="160"/>
    </row>
    <row r="328" spans="1:12" s="21" customFormat="1" x14ac:dyDescent="0.2">
      <c r="A328" s="129" t="str">
        <f>IF(F328&lt;&gt;"",1+MAX($A$7:A327),"")</f>
        <v/>
      </c>
      <c r="B328" s="140"/>
      <c r="C328" s="140"/>
      <c r="D328" s="141"/>
      <c r="E328" s="158" t="s">
        <v>132</v>
      </c>
      <c r="F328" s="149"/>
      <c r="G328" s="144"/>
      <c r="H328" s="143"/>
      <c r="I328" s="145"/>
      <c r="J328" s="37"/>
      <c r="K328" s="159"/>
      <c r="L328" s="160"/>
    </row>
    <row r="329" spans="1:12" s="21" customFormat="1" x14ac:dyDescent="0.2">
      <c r="A329" s="129">
        <f>IF(F329&lt;&gt;"",1+MAX($A$7:A328),"")</f>
        <v>122</v>
      </c>
      <c r="B329" s="140" t="s">
        <v>105</v>
      </c>
      <c r="C329" s="140" t="s">
        <v>104</v>
      </c>
      <c r="D329" s="149"/>
      <c r="E329" s="163" t="s">
        <v>100</v>
      </c>
      <c r="F329" s="149">
        <f>18.9*9.75*2</f>
        <v>368.54999999999995</v>
      </c>
      <c r="G329" s="124">
        <v>0.1</v>
      </c>
      <c r="H329" s="143">
        <f>F329*(1+G329)</f>
        <v>405.40499999999997</v>
      </c>
      <c r="I329" s="145" t="s">
        <v>18</v>
      </c>
      <c r="J329" s="37">
        <f>J$143</f>
        <v>0</v>
      </c>
      <c r="K329" s="159">
        <f>J329*H329</f>
        <v>0</v>
      </c>
      <c r="L329" s="160"/>
    </row>
    <row r="330" spans="1:12" s="21" customFormat="1" x14ac:dyDescent="0.2">
      <c r="A330" s="129" t="str">
        <f>IF(F330&lt;&gt;"",1+MAX($A$7:A329),"")</f>
        <v/>
      </c>
      <c r="B330" s="140"/>
      <c r="C330" s="140"/>
      <c r="D330" s="141"/>
      <c r="E330" s="165" t="s">
        <v>41</v>
      </c>
      <c r="F330" s="166"/>
      <c r="G330" s="167"/>
      <c r="H330" s="143">
        <f>ROUNDUP((H329)/32,0)</f>
        <v>13</v>
      </c>
      <c r="I330" s="145" t="s">
        <v>42</v>
      </c>
      <c r="J330" s="37"/>
      <c r="K330" s="159"/>
      <c r="L330" s="160"/>
    </row>
    <row r="331" spans="1:12" s="21" customFormat="1" x14ac:dyDescent="0.2">
      <c r="A331" s="129" t="str">
        <f>IF(F331&lt;&gt;"",1+MAX($A$7:A330),"")</f>
        <v/>
      </c>
      <c r="B331" s="140"/>
      <c r="C331" s="140"/>
      <c r="D331" s="141"/>
      <c r="E331" s="165" t="s">
        <v>43</v>
      </c>
      <c r="F331" s="166"/>
      <c r="G331" s="167"/>
      <c r="H331" s="143">
        <f>ROUNDUP(H330*24/500,0)</f>
        <v>1</v>
      </c>
      <c r="I331" s="145" t="s">
        <v>44</v>
      </c>
      <c r="J331" s="37"/>
      <c r="K331" s="159"/>
      <c r="L331" s="160"/>
    </row>
    <row r="332" spans="1:12" s="21" customFormat="1" x14ac:dyDescent="0.2">
      <c r="A332" s="129" t="str">
        <f>IF(F332&lt;&gt;"",1+MAX($A$7:A331),"")</f>
        <v/>
      </c>
      <c r="B332" s="140"/>
      <c r="C332" s="140"/>
      <c r="D332" s="141"/>
      <c r="E332" s="165" t="s">
        <v>45</v>
      </c>
      <c r="F332" s="166"/>
      <c r="G332" s="167"/>
      <c r="H332" s="168">
        <f>ROUNDUP((H329)/200,0)</f>
        <v>3</v>
      </c>
      <c r="I332" s="145" t="s">
        <v>46</v>
      </c>
      <c r="J332" s="37"/>
      <c r="K332" s="159"/>
      <c r="L332" s="160"/>
    </row>
    <row r="333" spans="1:12" s="21" customFormat="1" x14ac:dyDescent="0.2">
      <c r="A333" s="129" t="str">
        <f>IF(F333&lt;&gt;"",1+MAX($A$7:A332),"")</f>
        <v/>
      </c>
      <c r="B333" s="140"/>
      <c r="C333" s="140"/>
      <c r="D333" s="141"/>
      <c r="E333" s="165" t="s">
        <v>47</v>
      </c>
      <c r="F333" s="166"/>
      <c r="G333" s="167"/>
      <c r="H333" s="168">
        <f>ROUNDUP((H329)*5.25/1000,0)</f>
        <v>3</v>
      </c>
      <c r="I333" s="145" t="s">
        <v>48</v>
      </c>
      <c r="J333" s="37"/>
      <c r="K333" s="159"/>
      <c r="L333" s="160"/>
    </row>
    <row r="334" spans="1:12" s="21" customFormat="1" x14ac:dyDescent="0.2">
      <c r="A334" s="129">
        <f>IF(F334&lt;&gt;"",1+MAX($A$7:A333),"")</f>
        <v>123</v>
      </c>
      <c r="B334" s="140" t="s">
        <v>105</v>
      </c>
      <c r="C334" s="140" t="s">
        <v>104</v>
      </c>
      <c r="D334" s="141"/>
      <c r="E334" s="163" t="s">
        <v>102</v>
      </c>
      <c r="F334" s="149">
        <f>18.9*4</f>
        <v>75.599999999999994</v>
      </c>
      <c r="G334" s="124">
        <v>0.1</v>
      </c>
      <c r="H334" s="143">
        <f>F334*(1+G334)</f>
        <v>83.16</v>
      </c>
      <c r="I334" s="145" t="s">
        <v>15</v>
      </c>
      <c r="J334" s="37">
        <f>J$148</f>
        <v>0</v>
      </c>
      <c r="K334" s="159">
        <f>J334*H334</f>
        <v>0</v>
      </c>
      <c r="L334" s="160"/>
    </row>
    <row r="335" spans="1:12" s="21" customFormat="1" x14ac:dyDescent="0.2">
      <c r="A335" s="129">
        <f>IF(F335&lt;&gt;"",1+MAX($A$7:A334),"")</f>
        <v>124</v>
      </c>
      <c r="B335" s="140" t="s">
        <v>105</v>
      </c>
      <c r="C335" s="140" t="s">
        <v>104</v>
      </c>
      <c r="D335" s="149"/>
      <c r="E335" s="163" t="s">
        <v>349</v>
      </c>
      <c r="F335" s="149">
        <f>18.9*9.75</f>
        <v>184.27499999999998</v>
      </c>
      <c r="G335" s="124">
        <v>0.1</v>
      </c>
      <c r="H335" s="143">
        <f>F335*(1+G335)</f>
        <v>202.70249999999999</v>
      </c>
      <c r="I335" s="145" t="s">
        <v>18</v>
      </c>
      <c r="J335" s="37">
        <f>J$276</f>
        <v>0</v>
      </c>
      <c r="K335" s="159">
        <f>J335*H335</f>
        <v>0</v>
      </c>
      <c r="L335" s="160"/>
    </row>
    <row r="336" spans="1:12" s="21" customFormat="1" x14ac:dyDescent="0.2">
      <c r="A336" s="129">
        <f>IF(F336&lt;&gt;"",1+MAX($A$7:A335),"")</f>
        <v>125</v>
      </c>
      <c r="B336" s="140" t="s">
        <v>105</v>
      </c>
      <c r="C336" s="140" t="s">
        <v>104</v>
      </c>
      <c r="D336" s="149"/>
      <c r="E336" s="163" t="s">
        <v>116</v>
      </c>
      <c r="F336" s="149">
        <f>18.9*9.75</f>
        <v>184.27499999999998</v>
      </c>
      <c r="G336" s="124">
        <v>0.1</v>
      </c>
      <c r="H336" s="143">
        <f>F336*(1+G336)</f>
        <v>202.70249999999999</v>
      </c>
      <c r="I336" s="145" t="s">
        <v>18</v>
      </c>
      <c r="J336" s="37">
        <f>J$202</f>
        <v>0</v>
      </c>
      <c r="K336" s="159">
        <f>J336*H336</f>
        <v>0</v>
      </c>
      <c r="L336" s="160"/>
    </row>
    <row r="337" spans="1:12" s="21" customFormat="1" x14ac:dyDescent="0.2">
      <c r="A337" s="129" t="str">
        <f>IF(F337&lt;&gt;"",1+MAX($A$7:A336),"")</f>
        <v/>
      </c>
      <c r="B337" s="140"/>
      <c r="C337" s="140"/>
      <c r="D337" s="141"/>
      <c r="E337" s="163"/>
      <c r="F337" s="149"/>
      <c r="G337" s="124"/>
      <c r="H337" s="143"/>
      <c r="I337" s="145"/>
      <c r="J337" s="37"/>
      <c r="K337" s="159"/>
      <c r="L337" s="160"/>
    </row>
    <row r="338" spans="1:12" s="21" customFormat="1" x14ac:dyDescent="0.2">
      <c r="A338" s="129" t="str">
        <f>IF(F338&lt;&gt;"",1+MAX($A$7:A337),"")</f>
        <v/>
      </c>
      <c r="B338" s="140"/>
      <c r="C338" s="140"/>
      <c r="D338" s="141"/>
      <c r="E338" s="158" t="s">
        <v>135</v>
      </c>
      <c r="F338" s="149"/>
      <c r="G338" s="144"/>
      <c r="H338" s="143"/>
      <c r="I338" s="145"/>
      <c r="J338" s="37"/>
      <c r="K338" s="159"/>
      <c r="L338" s="160"/>
    </row>
    <row r="339" spans="1:12" s="21" customFormat="1" x14ac:dyDescent="0.2">
      <c r="A339" s="129">
        <f>IF(F339&lt;&gt;"",1+MAX($A$7:A338),"")</f>
        <v>126</v>
      </c>
      <c r="B339" s="140" t="s">
        <v>105</v>
      </c>
      <c r="C339" s="140" t="s">
        <v>104</v>
      </c>
      <c r="D339" s="149"/>
      <c r="E339" s="163" t="s">
        <v>100</v>
      </c>
      <c r="F339" s="149">
        <f>27*9.75*2</f>
        <v>526.5</v>
      </c>
      <c r="G339" s="124">
        <v>0.1</v>
      </c>
      <c r="H339" s="143">
        <f>F339*(1+G339)</f>
        <v>579.15000000000009</v>
      </c>
      <c r="I339" s="145" t="s">
        <v>18</v>
      </c>
      <c r="J339" s="37">
        <f>J$143</f>
        <v>0</v>
      </c>
      <c r="K339" s="159">
        <f>J339*H339</f>
        <v>0</v>
      </c>
      <c r="L339" s="160"/>
    </row>
    <row r="340" spans="1:12" s="21" customFormat="1" x14ac:dyDescent="0.2">
      <c r="A340" s="129" t="str">
        <f>IF(F340&lt;&gt;"",1+MAX($A$7:A339),"")</f>
        <v/>
      </c>
      <c r="B340" s="140"/>
      <c r="C340" s="140"/>
      <c r="D340" s="141"/>
      <c r="E340" s="165" t="s">
        <v>41</v>
      </c>
      <c r="F340" s="166"/>
      <c r="G340" s="167"/>
      <c r="H340" s="143">
        <f>ROUNDUP((H339)/32,0)</f>
        <v>19</v>
      </c>
      <c r="I340" s="145" t="s">
        <v>42</v>
      </c>
      <c r="J340" s="37"/>
      <c r="K340" s="159"/>
      <c r="L340" s="160"/>
    </row>
    <row r="341" spans="1:12" s="21" customFormat="1" x14ac:dyDescent="0.2">
      <c r="A341" s="129" t="str">
        <f>IF(F341&lt;&gt;"",1+MAX($A$7:A340),"")</f>
        <v/>
      </c>
      <c r="B341" s="140"/>
      <c r="C341" s="140"/>
      <c r="D341" s="141"/>
      <c r="E341" s="165" t="s">
        <v>43</v>
      </c>
      <c r="F341" s="166"/>
      <c r="G341" s="167"/>
      <c r="H341" s="143">
        <f>ROUNDUP(H340*24/500,0)</f>
        <v>1</v>
      </c>
      <c r="I341" s="145" t="s">
        <v>44</v>
      </c>
      <c r="J341" s="37"/>
      <c r="K341" s="159"/>
      <c r="L341" s="160"/>
    </row>
    <row r="342" spans="1:12" s="21" customFormat="1" x14ac:dyDescent="0.2">
      <c r="A342" s="129" t="str">
        <f>IF(F342&lt;&gt;"",1+MAX($A$7:A341),"")</f>
        <v/>
      </c>
      <c r="B342" s="140"/>
      <c r="C342" s="140"/>
      <c r="D342" s="141"/>
      <c r="E342" s="165" t="s">
        <v>45</v>
      </c>
      <c r="F342" s="166"/>
      <c r="G342" s="167"/>
      <c r="H342" s="168">
        <f>ROUNDUP((H339)/200,0)</f>
        <v>3</v>
      </c>
      <c r="I342" s="145" t="s">
        <v>46</v>
      </c>
      <c r="J342" s="37"/>
      <c r="K342" s="159"/>
      <c r="L342" s="160"/>
    </row>
    <row r="343" spans="1:12" s="21" customFormat="1" x14ac:dyDescent="0.2">
      <c r="A343" s="129" t="str">
        <f>IF(F343&lt;&gt;"",1+MAX($A$7:A342),"")</f>
        <v/>
      </c>
      <c r="B343" s="140"/>
      <c r="C343" s="140"/>
      <c r="D343" s="141"/>
      <c r="E343" s="165" t="s">
        <v>47</v>
      </c>
      <c r="F343" s="166"/>
      <c r="G343" s="167"/>
      <c r="H343" s="168">
        <f>ROUNDUP((H339)*5.25/1000,0)</f>
        <v>4</v>
      </c>
      <c r="I343" s="145" t="s">
        <v>48</v>
      </c>
      <c r="J343" s="37"/>
      <c r="K343" s="159"/>
      <c r="L343" s="160"/>
    </row>
    <row r="344" spans="1:12" s="21" customFormat="1" x14ac:dyDescent="0.2">
      <c r="A344" s="129">
        <f>IF(F344&lt;&gt;"",1+MAX($A$7:A343),"")</f>
        <v>127</v>
      </c>
      <c r="B344" s="140" t="s">
        <v>105</v>
      </c>
      <c r="C344" s="140" t="s">
        <v>104</v>
      </c>
      <c r="D344" s="141"/>
      <c r="E344" s="163" t="s">
        <v>102</v>
      </c>
      <c r="F344" s="149">
        <f>27*4</f>
        <v>108</v>
      </c>
      <c r="G344" s="124">
        <v>0.1</v>
      </c>
      <c r="H344" s="143">
        <f>F344*(1+G344)</f>
        <v>118.80000000000001</v>
      </c>
      <c r="I344" s="145" t="s">
        <v>15</v>
      </c>
      <c r="J344" s="37">
        <f>J$148</f>
        <v>0</v>
      </c>
      <c r="K344" s="159">
        <f>J344*H344</f>
        <v>0</v>
      </c>
      <c r="L344" s="160"/>
    </row>
    <row r="345" spans="1:12" s="21" customFormat="1" x14ac:dyDescent="0.2">
      <c r="A345" s="129">
        <f>IF(F345&lt;&gt;"",1+MAX($A$7:A344),"")</f>
        <v>128</v>
      </c>
      <c r="B345" s="140" t="s">
        <v>105</v>
      </c>
      <c r="C345" s="140" t="s">
        <v>104</v>
      </c>
      <c r="D345" s="149"/>
      <c r="E345" s="163" t="s">
        <v>349</v>
      </c>
      <c r="F345" s="149">
        <f>27*9.75</f>
        <v>263.25</v>
      </c>
      <c r="G345" s="124">
        <v>0.1</v>
      </c>
      <c r="H345" s="143">
        <f>F345*(1+G345)</f>
        <v>289.57500000000005</v>
      </c>
      <c r="I345" s="145" t="s">
        <v>18</v>
      </c>
      <c r="J345" s="37">
        <f>J$276</f>
        <v>0</v>
      </c>
      <c r="K345" s="159">
        <f>J345*H345</f>
        <v>0</v>
      </c>
      <c r="L345" s="160"/>
    </row>
    <row r="346" spans="1:12" s="21" customFormat="1" x14ac:dyDescent="0.2">
      <c r="A346" s="129">
        <f>IF(F346&lt;&gt;"",1+MAX($A$7:A345),"")</f>
        <v>129</v>
      </c>
      <c r="B346" s="140" t="s">
        <v>105</v>
      </c>
      <c r="C346" s="140" t="s">
        <v>104</v>
      </c>
      <c r="D346" s="149"/>
      <c r="E346" s="163" t="s">
        <v>116</v>
      </c>
      <c r="F346" s="149">
        <f>27*9.75</f>
        <v>263.25</v>
      </c>
      <c r="G346" s="124">
        <v>0.1</v>
      </c>
      <c r="H346" s="143">
        <f>F346*(1+G346)</f>
        <v>289.57500000000005</v>
      </c>
      <c r="I346" s="145" t="s">
        <v>18</v>
      </c>
      <c r="J346" s="37">
        <f>J$202</f>
        <v>0</v>
      </c>
      <c r="K346" s="159">
        <f>J346*H346</f>
        <v>0</v>
      </c>
      <c r="L346" s="160"/>
    </row>
    <row r="347" spans="1:12" s="21" customFormat="1" x14ac:dyDescent="0.2">
      <c r="A347" s="129" t="str">
        <f>IF(F347&lt;&gt;"",1+MAX($A$7:A346),"")</f>
        <v/>
      </c>
      <c r="B347" s="140"/>
      <c r="C347" s="140"/>
      <c r="D347" s="141"/>
      <c r="E347" s="163"/>
      <c r="F347" s="149"/>
      <c r="G347" s="124"/>
      <c r="H347" s="143"/>
      <c r="I347" s="145"/>
      <c r="J347" s="37"/>
      <c r="K347" s="159"/>
      <c r="L347" s="160"/>
    </row>
    <row r="348" spans="1:12" s="21" customFormat="1" x14ac:dyDescent="0.2">
      <c r="A348" s="129" t="str">
        <f>IF(F348&lt;&gt;"",1+MAX($A$7:A347),"")</f>
        <v/>
      </c>
      <c r="B348" s="140"/>
      <c r="C348" s="140"/>
      <c r="D348" s="141"/>
      <c r="E348" s="158" t="s">
        <v>136</v>
      </c>
      <c r="F348" s="149"/>
      <c r="G348" s="144"/>
      <c r="H348" s="143"/>
      <c r="I348" s="145"/>
      <c r="J348" s="37"/>
      <c r="K348" s="159"/>
      <c r="L348" s="160"/>
    </row>
    <row r="349" spans="1:12" s="21" customFormat="1" x14ac:dyDescent="0.2">
      <c r="A349" s="129">
        <f>IF(F349&lt;&gt;"",1+MAX($A$7:A348),"")</f>
        <v>130</v>
      </c>
      <c r="B349" s="140" t="s">
        <v>105</v>
      </c>
      <c r="C349" s="140" t="s">
        <v>104</v>
      </c>
      <c r="D349" s="149"/>
      <c r="E349" s="163" t="s">
        <v>100</v>
      </c>
      <c r="F349" s="149">
        <f>137.6*9.75*2+26.5*9.75</f>
        <v>2941.5749999999998</v>
      </c>
      <c r="G349" s="124">
        <v>0.1</v>
      </c>
      <c r="H349" s="143">
        <f>F349*(1+G349)</f>
        <v>3235.7325000000001</v>
      </c>
      <c r="I349" s="145" t="s">
        <v>18</v>
      </c>
      <c r="J349" s="37">
        <f>J$143</f>
        <v>0</v>
      </c>
      <c r="K349" s="159">
        <f>J349*H349</f>
        <v>0</v>
      </c>
      <c r="L349" s="160"/>
    </row>
    <row r="350" spans="1:12" s="21" customFormat="1" x14ac:dyDescent="0.2">
      <c r="A350" s="129" t="str">
        <f>IF(F350&lt;&gt;"",1+MAX($A$7:A349),"")</f>
        <v/>
      </c>
      <c r="B350" s="140"/>
      <c r="C350" s="140"/>
      <c r="D350" s="141"/>
      <c r="E350" s="165" t="s">
        <v>41</v>
      </c>
      <c r="F350" s="166"/>
      <c r="G350" s="167"/>
      <c r="H350" s="143">
        <f>ROUNDUP((H349)/32,0)</f>
        <v>102</v>
      </c>
      <c r="I350" s="145" t="s">
        <v>42</v>
      </c>
      <c r="J350" s="37"/>
      <c r="K350" s="159"/>
      <c r="L350" s="160"/>
    </row>
    <row r="351" spans="1:12" s="21" customFormat="1" x14ac:dyDescent="0.2">
      <c r="A351" s="129" t="str">
        <f>IF(F351&lt;&gt;"",1+MAX($A$7:A350),"")</f>
        <v/>
      </c>
      <c r="B351" s="140"/>
      <c r="C351" s="140"/>
      <c r="D351" s="141"/>
      <c r="E351" s="165" t="s">
        <v>43</v>
      </c>
      <c r="F351" s="166"/>
      <c r="G351" s="167"/>
      <c r="H351" s="143">
        <f>ROUNDUP(H350*24/500,0)</f>
        <v>5</v>
      </c>
      <c r="I351" s="145" t="s">
        <v>44</v>
      </c>
      <c r="J351" s="37"/>
      <c r="K351" s="159"/>
      <c r="L351" s="160"/>
    </row>
    <row r="352" spans="1:12" s="21" customFormat="1" x14ac:dyDescent="0.2">
      <c r="A352" s="129" t="str">
        <f>IF(F352&lt;&gt;"",1+MAX($A$7:A351),"")</f>
        <v/>
      </c>
      <c r="B352" s="140"/>
      <c r="C352" s="140"/>
      <c r="D352" s="141"/>
      <c r="E352" s="165" t="s">
        <v>45</v>
      </c>
      <c r="F352" s="166"/>
      <c r="G352" s="167"/>
      <c r="H352" s="168">
        <f>ROUNDUP((H349)/200,0)</f>
        <v>17</v>
      </c>
      <c r="I352" s="145" t="s">
        <v>46</v>
      </c>
      <c r="J352" s="37"/>
      <c r="K352" s="159"/>
      <c r="L352" s="160"/>
    </row>
    <row r="353" spans="1:12" s="21" customFormat="1" x14ac:dyDescent="0.2">
      <c r="A353" s="129" t="str">
        <f>IF(F353&lt;&gt;"",1+MAX($A$7:A352),"")</f>
        <v/>
      </c>
      <c r="B353" s="140"/>
      <c r="C353" s="140"/>
      <c r="D353" s="141"/>
      <c r="E353" s="165" t="s">
        <v>47</v>
      </c>
      <c r="F353" s="166"/>
      <c r="G353" s="167"/>
      <c r="H353" s="168">
        <f>ROUNDUP((H349)*5.25/1000,0)</f>
        <v>17</v>
      </c>
      <c r="I353" s="145" t="s">
        <v>48</v>
      </c>
      <c r="J353" s="37"/>
      <c r="K353" s="159"/>
      <c r="L353" s="160"/>
    </row>
    <row r="354" spans="1:12" s="21" customFormat="1" x14ac:dyDescent="0.2">
      <c r="A354" s="129">
        <f>IF(F354&lt;&gt;"",1+MAX($A$7:A353),"")</f>
        <v>131</v>
      </c>
      <c r="B354" s="140" t="s">
        <v>105</v>
      </c>
      <c r="C354" s="140" t="s">
        <v>104</v>
      </c>
      <c r="D354" s="149"/>
      <c r="E354" s="163" t="s">
        <v>101</v>
      </c>
      <c r="F354" s="149">
        <f>26.5*9.75</f>
        <v>258.375</v>
      </c>
      <c r="G354" s="124">
        <v>0.1</v>
      </c>
      <c r="H354" s="143">
        <f>F354*(1+G354)</f>
        <v>284.21250000000003</v>
      </c>
      <c r="I354" s="145" t="s">
        <v>18</v>
      </c>
      <c r="J354" s="37">
        <f>J$160</f>
        <v>0</v>
      </c>
      <c r="K354" s="159">
        <f>J354*H354</f>
        <v>0</v>
      </c>
      <c r="L354" s="160"/>
    </row>
    <row r="355" spans="1:12" s="21" customFormat="1" x14ac:dyDescent="0.2">
      <c r="A355" s="129" t="str">
        <f>IF(F355&lt;&gt;"",1+MAX($A$7:A354),"")</f>
        <v/>
      </c>
      <c r="B355" s="140"/>
      <c r="C355" s="140"/>
      <c r="D355" s="141"/>
      <c r="E355" s="165" t="s">
        <v>41</v>
      </c>
      <c r="F355" s="166"/>
      <c r="G355" s="167"/>
      <c r="H355" s="143">
        <f>ROUNDUP((H354)/32,0)</f>
        <v>9</v>
      </c>
      <c r="I355" s="145" t="s">
        <v>42</v>
      </c>
      <c r="J355" s="37"/>
      <c r="K355" s="159"/>
      <c r="L355" s="160"/>
    </row>
    <row r="356" spans="1:12" s="21" customFormat="1" x14ac:dyDescent="0.2">
      <c r="A356" s="129" t="str">
        <f>IF(F356&lt;&gt;"",1+MAX($A$7:A355),"")</f>
        <v/>
      </c>
      <c r="B356" s="140"/>
      <c r="C356" s="140"/>
      <c r="D356" s="141"/>
      <c r="E356" s="165" t="s">
        <v>43</v>
      </c>
      <c r="F356" s="166"/>
      <c r="G356" s="167"/>
      <c r="H356" s="143">
        <f>ROUNDUP(H355*24/500,0)</f>
        <v>1</v>
      </c>
      <c r="I356" s="145" t="s">
        <v>44</v>
      </c>
      <c r="J356" s="37"/>
      <c r="K356" s="159"/>
      <c r="L356" s="160"/>
    </row>
    <row r="357" spans="1:12" s="21" customFormat="1" x14ac:dyDescent="0.2">
      <c r="A357" s="129" t="str">
        <f>IF(F357&lt;&gt;"",1+MAX($A$7:A356),"")</f>
        <v/>
      </c>
      <c r="B357" s="140"/>
      <c r="C357" s="140"/>
      <c r="D357" s="141"/>
      <c r="E357" s="165" t="s">
        <v>45</v>
      </c>
      <c r="F357" s="166"/>
      <c r="G357" s="167"/>
      <c r="H357" s="168">
        <f>ROUNDUP((H354)/200,0)</f>
        <v>2</v>
      </c>
      <c r="I357" s="145" t="s">
        <v>46</v>
      </c>
      <c r="J357" s="37"/>
      <c r="K357" s="159"/>
      <c r="L357" s="160"/>
    </row>
    <row r="358" spans="1:12" s="21" customFormat="1" x14ac:dyDescent="0.2">
      <c r="A358" s="129" t="str">
        <f>IF(F358&lt;&gt;"",1+MAX($A$7:A357),"")</f>
        <v/>
      </c>
      <c r="B358" s="140"/>
      <c r="C358" s="140"/>
      <c r="D358" s="141"/>
      <c r="E358" s="165" t="s">
        <v>47</v>
      </c>
      <c r="F358" s="166"/>
      <c r="G358" s="167"/>
      <c r="H358" s="168">
        <f>ROUNDUP((H354)*5.25/1000,0)</f>
        <v>2</v>
      </c>
      <c r="I358" s="145" t="s">
        <v>48</v>
      </c>
      <c r="J358" s="37"/>
      <c r="K358" s="159"/>
      <c r="L358" s="160"/>
    </row>
    <row r="359" spans="1:12" s="21" customFormat="1" x14ac:dyDescent="0.2">
      <c r="A359" s="129">
        <f>IF(F359&lt;&gt;"",1+MAX($A$7:A358),"")</f>
        <v>132</v>
      </c>
      <c r="B359" s="140" t="s">
        <v>105</v>
      </c>
      <c r="C359" s="140" t="s">
        <v>104</v>
      </c>
      <c r="D359" s="141"/>
      <c r="E359" s="163" t="s">
        <v>102</v>
      </c>
      <c r="F359" s="149">
        <f>164.1*4</f>
        <v>656.4</v>
      </c>
      <c r="G359" s="124">
        <v>0.1</v>
      </c>
      <c r="H359" s="143">
        <f>F359*(1+G359)</f>
        <v>722.04000000000008</v>
      </c>
      <c r="I359" s="145" t="s">
        <v>15</v>
      </c>
      <c r="J359" s="37">
        <f>J$148</f>
        <v>0</v>
      </c>
      <c r="K359" s="159">
        <f>J359*H359</f>
        <v>0</v>
      </c>
      <c r="L359" s="160"/>
    </row>
    <row r="360" spans="1:12" s="21" customFormat="1" x14ac:dyDescent="0.2">
      <c r="A360" s="129">
        <f>IF(F360&lt;&gt;"",1+MAX($A$7:A359),"")</f>
        <v>133</v>
      </c>
      <c r="B360" s="140" t="s">
        <v>105</v>
      </c>
      <c r="C360" s="140" t="s">
        <v>104</v>
      </c>
      <c r="D360" s="149"/>
      <c r="E360" s="163" t="s">
        <v>137</v>
      </c>
      <c r="F360" s="149">
        <f>164.1*9.75</f>
        <v>1599.9749999999999</v>
      </c>
      <c r="G360" s="124">
        <v>0.1</v>
      </c>
      <c r="H360" s="143">
        <f>F360*(1+G360)</f>
        <v>1759.9725000000001</v>
      </c>
      <c r="I360" s="145" t="s">
        <v>18</v>
      </c>
      <c r="J360" s="127">
        <v>0</v>
      </c>
      <c r="K360" s="159">
        <f>J360*H360</f>
        <v>0</v>
      </c>
      <c r="L360" s="160"/>
    </row>
    <row r="361" spans="1:12" s="21" customFormat="1" x14ac:dyDescent="0.2">
      <c r="A361" s="129" t="str">
        <f>IF(F361&lt;&gt;"",1+MAX($A$7:A360),"")</f>
        <v/>
      </c>
      <c r="B361" s="140"/>
      <c r="C361" s="140"/>
      <c r="D361" s="141"/>
      <c r="E361" s="165" t="s">
        <v>49</v>
      </c>
      <c r="F361" s="149"/>
      <c r="G361" s="124"/>
      <c r="H361" s="143">
        <f>(164.1/1.167+1)</f>
        <v>141.61696658097685</v>
      </c>
      <c r="I361" s="145" t="s">
        <v>20</v>
      </c>
      <c r="J361" s="37"/>
      <c r="K361" s="159"/>
      <c r="L361" s="160"/>
    </row>
    <row r="362" spans="1:12" s="21" customFormat="1" x14ac:dyDescent="0.2">
      <c r="A362" s="129">
        <f>IF(F362&lt;&gt;"",1+MAX($A$7:A361),"")</f>
        <v>134</v>
      </c>
      <c r="B362" s="140" t="s">
        <v>105</v>
      </c>
      <c r="C362" s="140" t="s">
        <v>104</v>
      </c>
      <c r="D362" s="149"/>
      <c r="E362" s="163" t="s">
        <v>138</v>
      </c>
      <c r="F362" s="149">
        <f>164.1*3</f>
        <v>492.29999999999995</v>
      </c>
      <c r="G362" s="124">
        <v>0.1</v>
      </c>
      <c r="H362" s="143">
        <f>F362*(1+G362)</f>
        <v>541.53</v>
      </c>
      <c r="I362" s="145" t="s">
        <v>15</v>
      </c>
      <c r="J362" s="127">
        <v>0</v>
      </c>
      <c r="K362" s="159">
        <f>J362*H362</f>
        <v>0</v>
      </c>
      <c r="L362" s="160"/>
    </row>
    <row r="363" spans="1:12" s="21" customFormat="1" x14ac:dyDescent="0.2">
      <c r="A363" s="129" t="str">
        <f>IF(F363&lt;&gt;"",1+MAX($A$7:A362),"")</f>
        <v/>
      </c>
      <c r="B363" s="140"/>
      <c r="C363" s="140"/>
      <c r="D363" s="141"/>
      <c r="E363" s="163"/>
      <c r="F363" s="149"/>
      <c r="G363" s="124"/>
      <c r="H363" s="143"/>
      <c r="I363" s="145"/>
      <c r="J363" s="37"/>
      <c r="K363" s="159"/>
      <c r="L363" s="160"/>
    </row>
    <row r="364" spans="1:12" s="21" customFormat="1" x14ac:dyDescent="0.2">
      <c r="A364" s="129" t="str">
        <f>IF(F364&lt;&gt;"",1+MAX($A$7:A363),"")</f>
        <v/>
      </c>
      <c r="B364" s="140"/>
      <c r="C364" s="140"/>
      <c r="D364" s="141"/>
      <c r="E364" s="158" t="s">
        <v>139</v>
      </c>
      <c r="F364" s="149"/>
      <c r="G364" s="144"/>
      <c r="H364" s="143"/>
      <c r="I364" s="145"/>
      <c r="J364" s="37"/>
      <c r="K364" s="159"/>
      <c r="L364" s="160"/>
    </row>
    <row r="365" spans="1:12" s="21" customFormat="1" x14ac:dyDescent="0.2">
      <c r="A365" s="129">
        <f>IF(F365&lt;&gt;"",1+MAX($A$7:A364),"")</f>
        <v>135</v>
      </c>
      <c r="B365" s="140" t="s">
        <v>105</v>
      </c>
      <c r="C365" s="140" t="s">
        <v>104</v>
      </c>
      <c r="D365" s="149"/>
      <c r="E365" s="163" t="s">
        <v>100</v>
      </c>
      <c r="F365" s="149">
        <f>152.8*9.75*2+56*9.75</f>
        <v>3525.6000000000004</v>
      </c>
      <c r="G365" s="124">
        <v>0.1</v>
      </c>
      <c r="H365" s="143">
        <f>F365*(1+G365)</f>
        <v>3878.1600000000008</v>
      </c>
      <c r="I365" s="145" t="s">
        <v>18</v>
      </c>
      <c r="J365" s="37">
        <f>J$143</f>
        <v>0</v>
      </c>
      <c r="K365" s="159">
        <f>J365*H365</f>
        <v>0</v>
      </c>
      <c r="L365" s="160"/>
    </row>
    <row r="366" spans="1:12" s="21" customFormat="1" x14ac:dyDescent="0.2">
      <c r="A366" s="129" t="str">
        <f>IF(F366&lt;&gt;"",1+MAX($A$7:A365),"")</f>
        <v/>
      </c>
      <c r="B366" s="140"/>
      <c r="C366" s="140"/>
      <c r="D366" s="141"/>
      <c r="E366" s="165" t="s">
        <v>41</v>
      </c>
      <c r="F366" s="166"/>
      <c r="G366" s="167"/>
      <c r="H366" s="143">
        <f>ROUNDUP((H365)/32,0)</f>
        <v>122</v>
      </c>
      <c r="I366" s="145" t="s">
        <v>42</v>
      </c>
      <c r="J366" s="37"/>
      <c r="K366" s="159"/>
      <c r="L366" s="160"/>
    </row>
    <row r="367" spans="1:12" s="21" customFormat="1" x14ac:dyDescent="0.2">
      <c r="A367" s="129" t="str">
        <f>IF(F367&lt;&gt;"",1+MAX($A$7:A366),"")</f>
        <v/>
      </c>
      <c r="B367" s="140"/>
      <c r="C367" s="140"/>
      <c r="D367" s="141"/>
      <c r="E367" s="165" t="s">
        <v>43</v>
      </c>
      <c r="F367" s="166"/>
      <c r="G367" s="167"/>
      <c r="H367" s="143">
        <f>ROUNDUP(H366*24/500,0)</f>
        <v>6</v>
      </c>
      <c r="I367" s="145" t="s">
        <v>44</v>
      </c>
      <c r="J367" s="37"/>
      <c r="K367" s="159"/>
      <c r="L367" s="160"/>
    </row>
    <row r="368" spans="1:12" s="21" customFormat="1" x14ac:dyDescent="0.2">
      <c r="A368" s="129" t="str">
        <f>IF(F368&lt;&gt;"",1+MAX($A$7:A367),"")</f>
        <v/>
      </c>
      <c r="B368" s="140"/>
      <c r="C368" s="140"/>
      <c r="D368" s="141"/>
      <c r="E368" s="165" t="s">
        <v>45</v>
      </c>
      <c r="F368" s="166"/>
      <c r="G368" s="167"/>
      <c r="H368" s="168">
        <f>ROUNDUP((H365)/200,0)</f>
        <v>20</v>
      </c>
      <c r="I368" s="145" t="s">
        <v>46</v>
      </c>
      <c r="J368" s="37"/>
      <c r="K368" s="159"/>
      <c r="L368" s="160"/>
    </row>
    <row r="369" spans="1:12" s="21" customFormat="1" x14ac:dyDescent="0.2">
      <c r="A369" s="129" t="str">
        <f>IF(F369&lt;&gt;"",1+MAX($A$7:A368),"")</f>
        <v/>
      </c>
      <c r="B369" s="140"/>
      <c r="C369" s="140"/>
      <c r="D369" s="141"/>
      <c r="E369" s="165" t="s">
        <v>47</v>
      </c>
      <c r="F369" s="166"/>
      <c r="G369" s="167"/>
      <c r="H369" s="168">
        <f>ROUNDUP((H365)*5.25/1000,0)</f>
        <v>21</v>
      </c>
      <c r="I369" s="145" t="s">
        <v>48</v>
      </c>
      <c r="J369" s="37"/>
      <c r="K369" s="159"/>
      <c r="L369" s="160"/>
    </row>
    <row r="370" spans="1:12" s="21" customFormat="1" x14ac:dyDescent="0.2">
      <c r="A370" s="129">
        <f>IF(F370&lt;&gt;"",1+MAX($A$7:A369),"")</f>
        <v>136</v>
      </c>
      <c r="B370" s="140" t="s">
        <v>105</v>
      </c>
      <c r="C370" s="140" t="s">
        <v>104</v>
      </c>
      <c r="D370" s="149"/>
      <c r="E370" s="163" t="s">
        <v>101</v>
      </c>
      <c r="F370" s="149">
        <f>56*9.75</f>
        <v>546</v>
      </c>
      <c r="G370" s="124">
        <v>0.1</v>
      </c>
      <c r="H370" s="143">
        <f>F370*(1+G370)</f>
        <v>600.6</v>
      </c>
      <c r="I370" s="145" t="s">
        <v>18</v>
      </c>
      <c r="J370" s="37">
        <f>J$160</f>
        <v>0</v>
      </c>
      <c r="K370" s="159">
        <f>J370*H370</f>
        <v>0</v>
      </c>
      <c r="L370" s="160"/>
    </row>
    <row r="371" spans="1:12" s="21" customFormat="1" x14ac:dyDescent="0.2">
      <c r="A371" s="129" t="str">
        <f>IF(F371&lt;&gt;"",1+MAX($A$7:A370),"")</f>
        <v/>
      </c>
      <c r="B371" s="140"/>
      <c r="C371" s="140"/>
      <c r="D371" s="141"/>
      <c r="E371" s="165" t="s">
        <v>41</v>
      </c>
      <c r="F371" s="166"/>
      <c r="G371" s="167"/>
      <c r="H371" s="143">
        <f>ROUNDUP((H370)/32,0)</f>
        <v>19</v>
      </c>
      <c r="I371" s="145" t="s">
        <v>42</v>
      </c>
      <c r="J371" s="37"/>
      <c r="K371" s="159"/>
      <c r="L371" s="160"/>
    </row>
    <row r="372" spans="1:12" s="21" customFormat="1" x14ac:dyDescent="0.2">
      <c r="A372" s="129" t="str">
        <f>IF(F372&lt;&gt;"",1+MAX($A$7:A371),"")</f>
        <v/>
      </c>
      <c r="B372" s="140"/>
      <c r="C372" s="140"/>
      <c r="D372" s="141"/>
      <c r="E372" s="165" t="s">
        <v>43</v>
      </c>
      <c r="F372" s="166"/>
      <c r="G372" s="167"/>
      <c r="H372" s="143">
        <f>ROUNDUP(H371*24/500,0)</f>
        <v>1</v>
      </c>
      <c r="I372" s="145" t="s">
        <v>44</v>
      </c>
      <c r="J372" s="37"/>
      <c r="K372" s="159"/>
      <c r="L372" s="160"/>
    </row>
    <row r="373" spans="1:12" s="21" customFormat="1" x14ac:dyDescent="0.2">
      <c r="A373" s="129" t="str">
        <f>IF(F373&lt;&gt;"",1+MAX($A$7:A372),"")</f>
        <v/>
      </c>
      <c r="B373" s="140"/>
      <c r="C373" s="140"/>
      <c r="D373" s="141"/>
      <c r="E373" s="165" t="s">
        <v>45</v>
      </c>
      <c r="F373" s="166"/>
      <c r="G373" s="167"/>
      <c r="H373" s="168">
        <f>ROUNDUP((H370)/200,0)</f>
        <v>4</v>
      </c>
      <c r="I373" s="145" t="s">
        <v>46</v>
      </c>
      <c r="J373" s="37"/>
      <c r="K373" s="159"/>
      <c r="L373" s="160"/>
    </row>
    <row r="374" spans="1:12" s="21" customFormat="1" x14ac:dyDescent="0.2">
      <c r="A374" s="129" t="str">
        <f>IF(F374&lt;&gt;"",1+MAX($A$7:A373),"")</f>
        <v/>
      </c>
      <c r="B374" s="140"/>
      <c r="C374" s="140"/>
      <c r="D374" s="141"/>
      <c r="E374" s="165" t="s">
        <v>47</v>
      </c>
      <c r="F374" s="166"/>
      <c r="G374" s="167"/>
      <c r="H374" s="168">
        <f>ROUNDUP((H370)*5.25/1000,0)</f>
        <v>4</v>
      </c>
      <c r="I374" s="145" t="s">
        <v>48</v>
      </c>
      <c r="J374" s="37"/>
      <c r="K374" s="159"/>
      <c r="L374" s="160"/>
    </row>
    <row r="375" spans="1:12" s="21" customFormat="1" x14ac:dyDescent="0.2">
      <c r="A375" s="129">
        <f>IF(F375&lt;&gt;"",1+MAX($A$7:A374),"")</f>
        <v>137</v>
      </c>
      <c r="B375" s="140" t="s">
        <v>105</v>
      </c>
      <c r="C375" s="140" t="s">
        <v>104</v>
      </c>
      <c r="D375" s="141"/>
      <c r="E375" s="163" t="s">
        <v>102</v>
      </c>
      <c r="F375" s="149">
        <f>208.8*4</f>
        <v>835.2</v>
      </c>
      <c r="G375" s="124">
        <v>0.1</v>
      </c>
      <c r="H375" s="143">
        <f>F375*(1+G375)</f>
        <v>918.72000000000014</v>
      </c>
      <c r="I375" s="145" t="s">
        <v>15</v>
      </c>
      <c r="J375" s="37">
        <f>J$148</f>
        <v>0</v>
      </c>
      <c r="K375" s="159">
        <f>J375*H375</f>
        <v>0</v>
      </c>
      <c r="L375" s="160"/>
    </row>
    <row r="376" spans="1:12" s="21" customFormat="1" x14ac:dyDescent="0.2">
      <c r="A376" s="129">
        <f>IF(F376&lt;&gt;"",1+MAX($A$7:A375),"")</f>
        <v>138</v>
      </c>
      <c r="B376" s="140" t="s">
        <v>105</v>
      </c>
      <c r="C376" s="140" t="s">
        <v>104</v>
      </c>
      <c r="D376" s="149"/>
      <c r="E376" s="163" t="s">
        <v>126</v>
      </c>
      <c r="F376" s="149">
        <f>208.8*9.75</f>
        <v>2035.8000000000002</v>
      </c>
      <c r="G376" s="124">
        <v>0.1</v>
      </c>
      <c r="H376" s="143">
        <f>F376*(1+G376)</f>
        <v>2239.3800000000006</v>
      </c>
      <c r="I376" s="145" t="s">
        <v>18</v>
      </c>
      <c r="J376" s="37">
        <f>J$149</f>
        <v>0</v>
      </c>
      <c r="K376" s="159">
        <f>J376*H376</f>
        <v>0</v>
      </c>
      <c r="L376" s="160"/>
    </row>
    <row r="377" spans="1:12" s="21" customFormat="1" x14ac:dyDescent="0.2">
      <c r="A377" s="129" t="str">
        <f>IF(F377&lt;&gt;"",1+MAX($A$7:A376),"")</f>
        <v/>
      </c>
      <c r="B377" s="140"/>
      <c r="C377" s="140"/>
      <c r="D377" s="141"/>
      <c r="E377" s="165" t="s">
        <v>49</v>
      </c>
      <c r="F377" s="149"/>
      <c r="G377" s="124"/>
      <c r="H377" s="143">
        <f>(208.8/1.167+1)</f>
        <v>179.92030848329048</v>
      </c>
      <c r="I377" s="145" t="s">
        <v>20</v>
      </c>
      <c r="J377" s="37"/>
      <c r="K377" s="159"/>
      <c r="L377" s="160"/>
    </row>
    <row r="378" spans="1:12" s="21" customFormat="1" x14ac:dyDescent="0.2">
      <c r="A378" s="129">
        <f>IF(F378&lt;&gt;"",1+MAX($A$7:A377),"")</f>
        <v>139</v>
      </c>
      <c r="B378" s="140" t="s">
        <v>105</v>
      </c>
      <c r="C378" s="140" t="s">
        <v>104</v>
      </c>
      <c r="D378" s="141"/>
      <c r="E378" s="163" t="s">
        <v>127</v>
      </c>
      <c r="F378" s="149">
        <f>208.8*3</f>
        <v>626.40000000000009</v>
      </c>
      <c r="G378" s="124">
        <v>0.1</v>
      </c>
      <c r="H378" s="143">
        <f>F378*(1+G378)</f>
        <v>689.04000000000019</v>
      </c>
      <c r="I378" s="145" t="s">
        <v>15</v>
      </c>
      <c r="J378" s="37">
        <f>J$151</f>
        <v>0</v>
      </c>
      <c r="K378" s="159">
        <f>J378*H378</f>
        <v>0</v>
      </c>
      <c r="L378" s="160"/>
    </row>
    <row r="379" spans="1:12" s="21" customFormat="1" x14ac:dyDescent="0.2">
      <c r="A379" s="129" t="str">
        <f>IF(F379&lt;&gt;"",1+MAX($A$7:A378),"")</f>
        <v/>
      </c>
      <c r="B379" s="140"/>
      <c r="C379" s="140"/>
      <c r="D379" s="141"/>
      <c r="E379" s="163"/>
      <c r="F379" s="149"/>
      <c r="G379" s="124"/>
      <c r="H379" s="143"/>
      <c r="I379" s="145"/>
      <c r="J379" s="37"/>
      <c r="K379" s="159"/>
      <c r="L379" s="160"/>
    </row>
    <row r="380" spans="1:12" s="21" customFormat="1" x14ac:dyDescent="0.2">
      <c r="A380" s="129" t="str">
        <f>IF(F380&lt;&gt;"",1+MAX($A$7:A379),"")</f>
        <v/>
      </c>
      <c r="B380" s="140"/>
      <c r="C380" s="140"/>
      <c r="D380" s="141"/>
      <c r="E380" s="158" t="s">
        <v>140</v>
      </c>
      <c r="F380" s="149"/>
      <c r="G380" s="144"/>
      <c r="H380" s="143"/>
      <c r="I380" s="145"/>
      <c r="J380" s="37"/>
      <c r="K380" s="159"/>
      <c r="L380" s="160"/>
    </row>
    <row r="381" spans="1:12" s="21" customFormat="1" x14ac:dyDescent="0.2">
      <c r="A381" s="129">
        <f>IF(F381&lt;&gt;"",1+MAX($A$7:A380),"")</f>
        <v>140</v>
      </c>
      <c r="B381" s="140" t="s">
        <v>105</v>
      </c>
      <c r="C381" s="140" t="s">
        <v>104</v>
      </c>
      <c r="D381" s="149"/>
      <c r="E381" s="163" t="s">
        <v>100</v>
      </c>
      <c r="F381" s="149">
        <f>19.4*9.75*2</f>
        <v>378.29999999999995</v>
      </c>
      <c r="G381" s="124">
        <v>0.1</v>
      </c>
      <c r="H381" s="143">
        <f>F381*(1+G381)</f>
        <v>416.13</v>
      </c>
      <c r="I381" s="145" t="s">
        <v>18</v>
      </c>
      <c r="J381" s="37">
        <f t="shared" ref="J381:J382" si="71">J$143</f>
        <v>0</v>
      </c>
      <c r="K381" s="159">
        <f>J381*H381</f>
        <v>0</v>
      </c>
      <c r="L381" s="160"/>
    </row>
    <row r="382" spans="1:12" s="21" customFormat="1" x14ac:dyDescent="0.2">
      <c r="A382" s="129">
        <f>IF(F382&lt;&gt;"",1+MAX($A$7:A381),"")</f>
        <v>141</v>
      </c>
      <c r="B382" s="140" t="s">
        <v>105</v>
      </c>
      <c r="C382" s="140" t="s">
        <v>104</v>
      </c>
      <c r="D382" s="149"/>
      <c r="E382" s="163" t="s">
        <v>115</v>
      </c>
      <c r="F382" s="149">
        <f>19.4*9.75</f>
        <v>189.14999999999998</v>
      </c>
      <c r="G382" s="124">
        <v>0.1</v>
      </c>
      <c r="H382" s="143">
        <f>F382*(1+G382)</f>
        <v>208.065</v>
      </c>
      <c r="I382" s="145" t="s">
        <v>18</v>
      </c>
      <c r="J382" s="37">
        <f t="shared" si="71"/>
        <v>0</v>
      </c>
      <c r="K382" s="159">
        <f>J382*H382</f>
        <v>0</v>
      </c>
      <c r="L382" s="160"/>
    </row>
    <row r="383" spans="1:12" s="21" customFormat="1" x14ac:dyDescent="0.2">
      <c r="A383" s="129" t="str">
        <f>IF(F383&lt;&gt;"",1+MAX($A$7:A382),"")</f>
        <v/>
      </c>
      <c r="B383" s="140"/>
      <c r="C383" s="140"/>
      <c r="D383" s="141"/>
      <c r="E383" s="165" t="s">
        <v>41</v>
      </c>
      <c r="F383" s="166"/>
      <c r="G383" s="167"/>
      <c r="H383" s="143">
        <f>ROUNDUP((H381+H382)/32,0)</f>
        <v>20</v>
      </c>
      <c r="I383" s="145" t="s">
        <v>42</v>
      </c>
      <c r="J383" s="37"/>
      <c r="K383" s="159"/>
      <c r="L383" s="160"/>
    </row>
    <row r="384" spans="1:12" s="21" customFormat="1" x14ac:dyDescent="0.2">
      <c r="A384" s="129" t="str">
        <f>IF(F384&lt;&gt;"",1+MAX($A$7:A383),"")</f>
        <v/>
      </c>
      <c r="B384" s="140"/>
      <c r="C384" s="140"/>
      <c r="D384" s="141"/>
      <c r="E384" s="165" t="s">
        <v>43</v>
      </c>
      <c r="F384" s="166"/>
      <c r="G384" s="167"/>
      <c r="H384" s="143">
        <f>ROUNDUP(H383*24/500,0)</f>
        <v>1</v>
      </c>
      <c r="I384" s="145" t="s">
        <v>44</v>
      </c>
      <c r="J384" s="37"/>
      <c r="K384" s="159"/>
      <c r="L384" s="160"/>
    </row>
    <row r="385" spans="1:12" s="21" customFormat="1" x14ac:dyDescent="0.2">
      <c r="A385" s="129" t="str">
        <f>IF(F385&lt;&gt;"",1+MAX($A$7:A384),"")</f>
        <v/>
      </c>
      <c r="B385" s="140"/>
      <c r="C385" s="140"/>
      <c r="D385" s="141"/>
      <c r="E385" s="165" t="s">
        <v>45</v>
      </c>
      <c r="F385" s="166"/>
      <c r="G385" s="167"/>
      <c r="H385" s="168">
        <f>ROUNDUP((H381+H382)/200,0)</f>
        <v>4</v>
      </c>
      <c r="I385" s="145" t="s">
        <v>46</v>
      </c>
      <c r="J385" s="37"/>
      <c r="K385" s="159"/>
      <c r="L385" s="160"/>
    </row>
    <row r="386" spans="1:12" s="21" customFormat="1" x14ac:dyDescent="0.2">
      <c r="A386" s="129" t="str">
        <f>IF(F386&lt;&gt;"",1+MAX($A$7:A385),"")</f>
        <v/>
      </c>
      <c r="B386" s="140"/>
      <c r="C386" s="140"/>
      <c r="D386" s="141"/>
      <c r="E386" s="165" t="s">
        <v>47</v>
      </c>
      <c r="F386" s="166"/>
      <c r="G386" s="167"/>
      <c r="H386" s="168">
        <f>ROUNDUP((H381+H382)*5.25/1000,0)</f>
        <v>4</v>
      </c>
      <c r="I386" s="145" t="s">
        <v>48</v>
      </c>
      <c r="J386" s="37"/>
      <c r="K386" s="159"/>
      <c r="L386" s="160"/>
    </row>
    <row r="387" spans="1:12" s="21" customFormat="1" x14ac:dyDescent="0.2">
      <c r="A387" s="129">
        <f>IF(F387&lt;&gt;"",1+MAX($A$7:A386),"")</f>
        <v>142</v>
      </c>
      <c r="B387" s="140" t="s">
        <v>105</v>
      </c>
      <c r="C387" s="140" t="s">
        <v>104</v>
      </c>
      <c r="D387" s="141"/>
      <c r="E387" s="163" t="s">
        <v>102</v>
      </c>
      <c r="F387" s="149">
        <f>19.4*4</f>
        <v>77.599999999999994</v>
      </c>
      <c r="G387" s="124">
        <v>0.1</v>
      </c>
      <c r="H387" s="143">
        <f>F387*(1+G387)</f>
        <v>85.36</v>
      </c>
      <c r="I387" s="145" t="s">
        <v>15</v>
      </c>
      <c r="J387" s="37">
        <f>J$148</f>
        <v>0</v>
      </c>
      <c r="K387" s="159">
        <f>J387*H387</f>
        <v>0</v>
      </c>
      <c r="L387" s="160"/>
    </row>
    <row r="388" spans="1:12" s="21" customFormat="1" x14ac:dyDescent="0.2">
      <c r="A388" s="129">
        <f>IF(F388&lt;&gt;"",1+MAX($A$7:A387),"")</f>
        <v>143</v>
      </c>
      <c r="B388" s="140" t="s">
        <v>105</v>
      </c>
      <c r="C388" s="140" t="s">
        <v>104</v>
      </c>
      <c r="D388" s="149"/>
      <c r="E388" s="163" t="s">
        <v>137</v>
      </c>
      <c r="F388" s="149">
        <f>19.4*9.75</f>
        <v>189.14999999999998</v>
      </c>
      <c r="G388" s="124">
        <v>0.1</v>
      </c>
      <c r="H388" s="143">
        <f>F388*(1+G388)</f>
        <v>208.065</v>
      </c>
      <c r="I388" s="145" t="s">
        <v>18</v>
      </c>
      <c r="J388" s="37">
        <f>J$360</f>
        <v>0</v>
      </c>
      <c r="K388" s="159">
        <f>J388*H388</f>
        <v>0</v>
      </c>
      <c r="L388" s="160"/>
    </row>
    <row r="389" spans="1:12" s="21" customFormat="1" x14ac:dyDescent="0.2">
      <c r="A389" s="129" t="str">
        <f>IF(F389&lt;&gt;"",1+MAX($A$7:A388),"")</f>
        <v/>
      </c>
      <c r="B389" s="140"/>
      <c r="C389" s="140"/>
      <c r="D389" s="149"/>
      <c r="E389" s="165" t="s">
        <v>49</v>
      </c>
      <c r="F389" s="149"/>
      <c r="G389" s="124"/>
      <c r="H389" s="143">
        <f>(19.4/1.167+1)</f>
        <v>17.623821765209939</v>
      </c>
      <c r="I389" s="145" t="s">
        <v>20</v>
      </c>
      <c r="J389" s="37"/>
      <c r="K389" s="159"/>
      <c r="L389" s="160"/>
    </row>
    <row r="390" spans="1:12" s="21" customFormat="1" x14ac:dyDescent="0.2">
      <c r="A390" s="129">
        <f>IF(F390&lt;&gt;"",1+MAX($A$7:A389),"")</f>
        <v>144</v>
      </c>
      <c r="B390" s="140" t="s">
        <v>105</v>
      </c>
      <c r="C390" s="140" t="s">
        <v>104</v>
      </c>
      <c r="D390" s="149"/>
      <c r="E390" s="163" t="s">
        <v>138</v>
      </c>
      <c r="F390" s="149">
        <f>19.4*2</f>
        <v>38.799999999999997</v>
      </c>
      <c r="G390" s="124">
        <v>0.1</v>
      </c>
      <c r="H390" s="143">
        <f>F390*(1+G390)</f>
        <v>42.68</v>
      </c>
      <c r="I390" s="145" t="s">
        <v>15</v>
      </c>
      <c r="J390" s="37">
        <f>J$362</f>
        <v>0</v>
      </c>
      <c r="K390" s="159">
        <f>J390*H390</f>
        <v>0</v>
      </c>
      <c r="L390" s="160"/>
    </row>
    <row r="391" spans="1:12" s="21" customFormat="1" x14ac:dyDescent="0.2">
      <c r="A391" s="129">
        <f>IF(F391&lt;&gt;"",1+MAX($A$7:A390),"")</f>
        <v>145</v>
      </c>
      <c r="B391" s="140" t="s">
        <v>105</v>
      </c>
      <c r="C391" s="140" t="s">
        <v>104</v>
      </c>
      <c r="D391" s="149"/>
      <c r="E391" s="163" t="s">
        <v>111</v>
      </c>
      <c r="F391" s="149">
        <f>19.4*9.75</f>
        <v>189.14999999999998</v>
      </c>
      <c r="G391" s="124">
        <v>0.1</v>
      </c>
      <c r="H391" s="143">
        <f>F391*(1+G391)</f>
        <v>208.065</v>
      </c>
      <c r="I391" s="145" t="s">
        <v>18</v>
      </c>
      <c r="J391" s="37">
        <f>J$187</f>
        <v>0</v>
      </c>
      <c r="K391" s="159">
        <f>J391*H391</f>
        <v>0</v>
      </c>
      <c r="L391" s="160"/>
    </row>
    <row r="392" spans="1:12" s="21" customFormat="1" x14ac:dyDescent="0.2">
      <c r="A392" s="129" t="str">
        <f>IF(F392&lt;&gt;"",1+MAX($A$7:A391),"")</f>
        <v/>
      </c>
      <c r="B392" s="140"/>
      <c r="C392" s="140"/>
      <c r="D392" s="149"/>
      <c r="E392" s="163"/>
      <c r="F392" s="149"/>
      <c r="G392" s="124"/>
      <c r="H392" s="143"/>
      <c r="I392" s="145"/>
      <c r="J392" s="37"/>
      <c r="K392" s="159"/>
      <c r="L392" s="160"/>
    </row>
    <row r="393" spans="1:12" s="21" customFormat="1" x14ac:dyDescent="0.2">
      <c r="A393" s="129" t="str">
        <f>IF(F393&lt;&gt;"",1+MAX($A$7:A392),"")</f>
        <v/>
      </c>
      <c r="B393" s="140"/>
      <c r="C393" s="140"/>
      <c r="D393" s="141"/>
      <c r="E393" s="158" t="s">
        <v>141</v>
      </c>
      <c r="F393" s="149"/>
      <c r="G393" s="144"/>
      <c r="H393" s="143"/>
      <c r="I393" s="145"/>
      <c r="J393" s="37"/>
      <c r="K393" s="159"/>
      <c r="L393" s="160"/>
    </row>
    <row r="394" spans="1:12" s="21" customFormat="1" x14ac:dyDescent="0.2">
      <c r="A394" s="129">
        <f>IF(F394&lt;&gt;"",1+MAX($A$7:A393),"")</f>
        <v>146</v>
      </c>
      <c r="B394" s="140" t="s">
        <v>105</v>
      </c>
      <c r="C394" s="140" t="s">
        <v>104</v>
      </c>
      <c r="D394" s="149"/>
      <c r="E394" s="163" t="s">
        <v>100</v>
      </c>
      <c r="F394" s="149">
        <f>8.4*9.75*2</f>
        <v>163.80000000000001</v>
      </c>
      <c r="G394" s="124">
        <v>0.1</v>
      </c>
      <c r="H394" s="143">
        <f>F394*(1+G394)</f>
        <v>180.18000000000004</v>
      </c>
      <c r="I394" s="145" t="s">
        <v>18</v>
      </c>
      <c r="J394" s="37">
        <f t="shared" ref="J394:J395" si="72">J$143</f>
        <v>0</v>
      </c>
      <c r="K394" s="159">
        <f>J394*H394</f>
        <v>0</v>
      </c>
      <c r="L394" s="160"/>
    </row>
    <row r="395" spans="1:12" s="21" customFormat="1" x14ac:dyDescent="0.2">
      <c r="A395" s="129">
        <f>IF(F395&lt;&gt;"",1+MAX($A$7:A394),"")</f>
        <v>147</v>
      </c>
      <c r="B395" s="140" t="s">
        <v>105</v>
      </c>
      <c r="C395" s="140" t="s">
        <v>104</v>
      </c>
      <c r="D395" s="149"/>
      <c r="E395" s="163" t="s">
        <v>115</v>
      </c>
      <c r="F395" s="149">
        <f>8.4*9.75</f>
        <v>81.900000000000006</v>
      </c>
      <c r="G395" s="124">
        <v>0.1</v>
      </c>
      <c r="H395" s="143">
        <f>F395*(1+G395)</f>
        <v>90.090000000000018</v>
      </c>
      <c r="I395" s="145" t="s">
        <v>18</v>
      </c>
      <c r="J395" s="37">
        <f t="shared" si="72"/>
        <v>0</v>
      </c>
      <c r="K395" s="159">
        <f>J395*H395</f>
        <v>0</v>
      </c>
      <c r="L395" s="160"/>
    </row>
    <row r="396" spans="1:12" s="21" customFormat="1" x14ac:dyDescent="0.2">
      <c r="A396" s="129" t="str">
        <f>IF(F396&lt;&gt;"",1+MAX($A$7:A395),"")</f>
        <v/>
      </c>
      <c r="B396" s="140"/>
      <c r="C396" s="140"/>
      <c r="D396" s="141"/>
      <c r="E396" s="165" t="s">
        <v>41</v>
      </c>
      <c r="F396" s="166"/>
      <c r="G396" s="167"/>
      <c r="H396" s="143">
        <f>ROUNDUP((H394+H395)/32,0)</f>
        <v>9</v>
      </c>
      <c r="I396" s="145" t="s">
        <v>42</v>
      </c>
      <c r="J396" s="37"/>
      <c r="K396" s="159"/>
      <c r="L396" s="160"/>
    </row>
    <row r="397" spans="1:12" s="21" customFormat="1" x14ac:dyDescent="0.2">
      <c r="A397" s="129" t="str">
        <f>IF(F397&lt;&gt;"",1+MAX($A$7:A396),"")</f>
        <v/>
      </c>
      <c r="B397" s="140"/>
      <c r="C397" s="140"/>
      <c r="D397" s="141"/>
      <c r="E397" s="165" t="s">
        <v>43</v>
      </c>
      <c r="F397" s="166"/>
      <c r="G397" s="167"/>
      <c r="H397" s="143">
        <f>ROUNDUP(H396*24/500,0)</f>
        <v>1</v>
      </c>
      <c r="I397" s="145" t="s">
        <v>44</v>
      </c>
      <c r="J397" s="37"/>
      <c r="K397" s="159"/>
      <c r="L397" s="160"/>
    </row>
    <row r="398" spans="1:12" s="21" customFormat="1" x14ac:dyDescent="0.2">
      <c r="A398" s="129" t="str">
        <f>IF(F398&lt;&gt;"",1+MAX($A$7:A397),"")</f>
        <v/>
      </c>
      <c r="B398" s="140"/>
      <c r="C398" s="140"/>
      <c r="D398" s="141"/>
      <c r="E398" s="165" t="s">
        <v>45</v>
      </c>
      <c r="F398" s="166"/>
      <c r="G398" s="167"/>
      <c r="H398" s="168">
        <f>ROUNDUP((H394+H395)/200,0)</f>
        <v>2</v>
      </c>
      <c r="I398" s="145" t="s">
        <v>46</v>
      </c>
      <c r="J398" s="37"/>
      <c r="K398" s="159"/>
      <c r="L398" s="160"/>
    </row>
    <row r="399" spans="1:12" s="21" customFormat="1" x14ac:dyDescent="0.2">
      <c r="A399" s="129" t="str">
        <f>IF(F399&lt;&gt;"",1+MAX($A$7:A398),"")</f>
        <v/>
      </c>
      <c r="B399" s="140"/>
      <c r="C399" s="140"/>
      <c r="D399" s="141"/>
      <c r="E399" s="165" t="s">
        <v>47</v>
      </c>
      <c r="F399" s="166"/>
      <c r="G399" s="167"/>
      <c r="H399" s="168">
        <f>ROUNDUP((H394+H395)*5.25/1000,0)</f>
        <v>2</v>
      </c>
      <c r="I399" s="145" t="s">
        <v>48</v>
      </c>
      <c r="J399" s="37"/>
      <c r="K399" s="159"/>
      <c r="L399" s="160"/>
    </row>
    <row r="400" spans="1:12" s="21" customFormat="1" x14ac:dyDescent="0.2">
      <c r="A400" s="129">
        <f>IF(F400&lt;&gt;"",1+MAX($A$7:A399),"")</f>
        <v>148</v>
      </c>
      <c r="B400" s="140" t="s">
        <v>105</v>
      </c>
      <c r="C400" s="140" t="s">
        <v>104</v>
      </c>
      <c r="D400" s="141"/>
      <c r="E400" s="163" t="s">
        <v>102</v>
      </c>
      <c r="F400" s="149">
        <f>8.4*4</f>
        <v>33.6</v>
      </c>
      <c r="G400" s="124">
        <v>0.1</v>
      </c>
      <c r="H400" s="143">
        <f>F400*(1+G400)</f>
        <v>36.960000000000008</v>
      </c>
      <c r="I400" s="145" t="s">
        <v>15</v>
      </c>
      <c r="J400" s="37">
        <f>J$148</f>
        <v>0</v>
      </c>
      <c r="K400" s="159">
        <f>J400*H400</f>
        <v>0</v>
      </c>
      <c r="L400" s="160"/>
    </row>
    <row r="401" spans="1:12" s="21" customFormat="1" x14ac:dyDescent="0.2">
      <c r="A401" s="129">
        <f>IF(F401&lt;&gt;"",1+MAX($A$7:A400),"")</f>
        <v>149</v>
      </c>
      <c r="B401" s="140" t="s">
        <v>105</v>
      </c>
      <c r="C401" s="140" t="s">
        <v>104</v>
      </c>
      <c r="D401" s="149"/>
      <c r="E401" s="163" t="s">
        <v>142</v>
      </c>
      <c r="F401" s="149">
        <f>8.4*9.75</f>
        <v>81.900000000000006</v>
      </c>
      <c r="G401" s="124">
        <v>0.1</v>
      </c>
      <c r="H401" s="143">
        <f>F401*(1+G401)</f>
        <v>90.090000000000018</v>
      </c>
      <c r="I401" s="145" t="s">
        <v>18</v>
      </c>
      <c r="J401" s="127">
        <v>0</v>
      </c>
      <c r="K401" s="159">
        <f>J401*H401</f>
        <v>0</v>
      </c>
      <c r="L401" s="160"/>
    </row>
    <row r="402" spans="1:12" s="21" customFormat="1" x14ac:dyDescent="0.2">
      <c r="A402" s="129" t="str">
        <f>IF(F402&lt;&gt;"",1+MAX($A$7:A401),"")</f>
        <v/>
      </c>
      <c r="B402" s="140"/>
      <c r="C402" s="140"/>
      <c r="D402" s="149"/>
      <c r="E402" s="165" t="s">
        <v>49</v>
      </c>
      <c r="F402" s="149"/>
      <c r="G402" s="124"/>
      <c r="H402" s="143">
        <f>(8.4/1.167+1)</f>
        <v>8.1979434447300772</v>
      </c>
      <c r="I402" s="145" t="s">
        <v>20</v>
      </c>
      <c r="J402" s="37"/>
      <c r="K402" s="159"/>
      <c r="L402" s="160"/>
    </row>
    <row r="403" spans="1:12" s="21" customFormat="1" x14ac:dyDescent="0.2">
      <c r="A403" s="129">
        <f>IF(F403&lt;&gt;"",1+MAX($A$7:A402),"")</f>
        <v>150</v>
      </c>
      <c r="B403" s="140" t="s">
        <v>105</v>
      </c>
      <c r="C403" s="140" t="s">
        <v>104</v>
      </c>
      <c r="D403" s="149"/>
      <c r="E403" s="163" t="s">
        <v>143</v>
      </c>
      <c r="F403" s="149">
        <f>8.4*2</f>
        <v>16.8</v>
      </c>
      <c r="G403" s="124">
        <v>0.1</v>
      </c>
      <c r="H403" s="143">
        <f>F403*(1+G403)</f>
        <v>18.480000000000004</v>
      </c>
      <c r="I403" s="145" t="s">
        <v>15</v>
      </c>
      <c r="J403" s="127">
        <v>0</v>
      </c>
      <c r="K403" s="159">
        <f>J403*H403</f>
        <v>0</v>
      </c>
      <c r="L403" s="160"/>
    </row>
    <row r="404" spans="1:12" s="21" customFormat="1" x14ac:dyDescent="0.2">
      <c r="A404" s="129">
        <f>IF(F404&lt;&gt;"",1+MAX($A$7:A403),"")</f>
        <v>151</v>
      </c>
      <c r="B404" s="140" t="s">
        <v>105</v>
      </c>
      <c r="C404" s="140" t="s">
        <v>104</v>
      </c>
      <c r="D404" s="149"/>
      <c r="E404" s="163" t="s">
        <v>112</v>
      </c>
      <c r="F404" s="149">
        <f t="shared" ref="F404" si="73">8.4*9.75</f>
        <v>81.900000000000006</v>
      </c>
      <c r="G404" s="124">
        <v>0.1</v>
      </c>
      <c r="H404" s="143">
        <f>F404*(1+G404)</f>
        <v>90.090000000000018</v>
      </c>
      <c r="I404" s="145" t="s">
        <v>18</v>
      </c>
      <c r="J404" s="37">
        <f>J$226</f>
        <v>0</v>
      </c>
      <c r="K404" s="159">
        <f>J404*H404</f>
        <v>0</v>
      </c>
      <c r="L404" s="160"/>
    </row>
    <row r="405" spans="1:12" s="21" customFormat="1" x14ac:dyDescent="0.2">
      <c r="A405" s="129" t="str">
        <f>IF(F405&lt;&gt;"",1+MAX($A$7:A404),"")</f>
        <v/>
      </c>
      <c r="B405" s="140"/>
      <c r="C405" s="140"/>
      <c r="D405" s="149"/>
      <c r="E405" s="163"/>
      <c r="F405" s="149"/>
      <c r="G405" s="124"/>
      <c r="H405" s="143"/>
      <c r="I405" s="145"/>
      <c r="J405" s="37"/>
      <c r="K405" s="159"/>
      <c r="L405" s="160"/>
    </row>
    <row r="406" spans="1:12" s="21" customFormat="1" x14ac:dyDescent="0.2">
      <c r="A406" s="129" t="str">
        <f>IF(F406&lt;&gt;"",1+MAX($A$7:A405),"")</f>
        <v/>
      </c>
      <c r="B406" s="140"/>
      <c r="C406" s="140"/>
      <c r="D406" s="141"/>
      <c r="E406" s="158" t="s">
        <v>144</v>
      </c>
      <c r="F406" s="149"/>
      <c r="G406" s="144"/>
      <c r="H406" s="143"/>
      <c r="I406" s="145"/>
      <c r="J406" s="37"/>
      <c r="K406" s="159"/>
      <c r="L406" s="160"/>
    </row>
    <row r="407" spans="1:12" s="21" customFormat="1" ht="31.5" x14ac:dyDescent="0.2">
      <c r="A407" s="129">
        <f>IF(F407&lt;&gt;"",1+MAX($A$7:A406),"")</f>
        <v>152</v>
      </c>
      <c r="B407" s="140" t="s">
        <v>105</v>
      </c>
      <c r="C407" s="140" t="s">
        <v>104</v>
      </c>
      <c r="D407" s="149"/>
      <c r="E407" s="163" t="s">
        <v>65</v>
      </c>
      <c r="F407" s="149">
        <f>10.7*9.75*2*2</f>
        <v>417.29999999999995</v>
      </c>
      <c r="G407" s="124">
        <v>0.1</v>
      </c>
      <c r="H407" s="143">
        <f>F407*(1+G407)</f>
        <v>459.03</v>
      </c>
      <c r="I407" s="145" t="s">
        <v>18</v>
      </c>
      <c r="J407" s="37">
        <f>J$143</f>
        <v>0</v>
      </c>
      <c r="K407" s="159">
        <f>J407*H407</f>
        <v>0</v>
      </c>
      <c r="L407" s="160"/>
    </row>
    <row r="408" spans="1:12" s="21" customFormat="1" x14ac:dyDescent="0.2">
      <c r="A408" s="129" t="str">
        <f>IF(F408&lt;&gt;"",1+MAX($A$7:A407),"")</f>
        <v/>
      </c>
      <c r="B408" s="140"/>
      <c r="C408" s="140"/>
      <c r="D408" s="141"/>
      <c r="E408" s="165" t="s">
        <v>41</v>
      </c>
      <c r="F408" s="166"/>
      <c r="G408" s="167"/>
      <c r="H408" s="143">
        <f>ROUNDUP((H407)/32,0)</f>
        <v>15</v>
      </c>
      <c r="I408" s="145" t="s">
        <v>42</v>
      </c>
      <c r="J408" s="37"/>
      <c r="K408" s="159"/>
      <c r="L408" s="160"/>
    </row>
    <row r="409" spans="1:12" s="21" customFormat="1" x14ac:dyDescent="0.2">
      <c r="A409" s="129" t="str">
        <f>IF(F409&lt;&gt;"",1+MAX($A$7:A408),"")</f>
        <v/>
      </c>
      <c r="B409" s="140"/>
      <c r="C409" s="140"/>
      <c r="D409" s="141"/>
      <c r="E409" s="165" t="s">
        <v>43</v>
      </c>
      <c r="F409" s="166"/>
      <c r="G409" s="167"/>
      <c r="H409" s="143">
        <f>ROUNDUP(H408*24/500,0)</f>
        <v>1</v>
      </c>
      <c r="I409" s="145" t="s">
        <v>44</v>
      </c>
      <c r="J409" s="37"/>
      <c r="K409" s="159"/>
      <c r="L409" s="160"/>
    </row>
    <row r="410" spans="1:12" s="21" customFormat="1" x14ac:dyDescent="0.2">
      <c r="A410" s="129" t="str">
        <f>IF(F410&lt;&gt;"",1+MAX($A$7:A409),"")</f>
        <v/>
      </c>
      <c r="B410" s="140"/>
      <c r="C410" s="140"/>
      <c r="D410" s="141"/>
      <c r="E410" s="165" t="s">
        <v>45</v>
      </c>
      <c r="F410" s="166"/>
      <c r="G410" s="167"/>
      <c r="H410" s="168">
        <f>ROUNDUP((H407)/200,0)</f>
        <v>3</v>
      </c>
      <c r="I410" s="145" t="s">
        <v>46</v>
      </c>
      <c r="J410" s="37"/>
      <c r="K410" s="159"/>
      <c r="L410" s="160"/>
    </row>
    <row r="411" spans="1:12" s="21" customFormat="1" x14ac:dyDescent="0.2">
      <c r="A411" s="129" t="str">
        <f>IF(F411&lt;&gt;"",1+MAX($A$7:A410),"")</f>
        <v/>
      </c>
      <c r="B411" s="140"/>
      <c r="C411" s="140"/>
      <c r="D411" s="141"/>
      <c r="E411" s="165" t="s">
        <v>47</v>
      </c>
      <c r="F411" s="166"/>
      <c r="G411" s="167"/>
      <c r="H411" s="168">
        <f>ROUNDUP((H407)*5.25/1000,0)</f>
        <v>3</v>
      </c>
      <c r="I411" s="145" t="s">
        <v>48</v>
      </c>
      <c r="J411" s="37"/>
      <c r="K411" s="159"/>
      <c r="L411" s="160"/>
    </row>
    <row r="412" spans="1:12" s="21" customFormat="1" x14ac:dyDescent="0.2">
      <c r="A412" s="129">
        <f>IF(F412&lt;&gt;"",1+MAX($A$7:A411),"")</f>
        <v>153</v>
      </c>
      <c r="B412" s="140" t="s">
        <v>105</v>
      </c>
      <c r="C412" s="140" t="s">
        <v>104</v>
      </c>
      <c r="D412" s="141"/>
      <c r="E412" s="163" t="s">
        <v>102</v>
      </c>
      <c r="F412" s="149">
        <f>10.7*4</f>
        <v>42.8</v>
      </c>
      <c r="G412" s="124">
        <v>0.1</v>
      </c>
      <c r="H412" s="143">
        <f>F412*(1+G412)</f>
        <v>47.08</v>
      </c>
      <c r="I412" s="145" t="s">
        <v>15</v>
      </c>
      <c r="J412" s="37">
        <f>J$148</f>
        <v>0</v>
      </c>
      <c r="K412" s="159">
        <f>J412*H412</f>
        <v>0</v>
      </c>
      <c r="L412" s="160"/>
    </row>
    <row r="413" spans="1:12" s="21" customFormat="1" x14ac:dyDescent="0.2">
      <c r="A413" s="129">
        <f>IF(F413&lt;&gt;"",1+MAX($A$7:A412),"")</f>
        <v>154</v>
      </c>
      <c r="B413" s="140" t="s">
        <v>105</v>
      </c>
      <c r="C413" s="140" t="s">
        <v>104</v>
      </c>
      <c r="D413" s="149"/>
      <c r="E413" s="163" t="s">
        <v>126</v>
      </c>
      <c r="F413" s="149">
        <f>10.7*9.75</f>
        <v>104.32499999999999</v>
      </c>
      <c r="G413" s="124">
        <v>0.1</v>
      </c>
      <c r="H413" s="143">
        <f>F413*(1+G413)</f>
        <v>114.75749999999999</v>
      </c>
      <c r="I413" s="145" t="s">
        <v>18</v>
      </c>
      <c r="J413" s="37">
        <f>J$149</f>
        <v>0</v>
      </c>
      <c r="K413" s="159">
        <f>J413*H413</f>
        <v>0</v>
      </c>
      <c r="L413" s="160"/>
    </row>
    <row r="414" spans="1:12" s="21" customFormat="1" x14ac:dyDescent="0.2">
      <c r="A414" s="129" t="str">
        <f>IF(F414&lt;&gt;"",1+MAX($A$7:A413),"")</f>
        <v/>
      </c>
      <c r="B414" s="140"/>
      <c r="C414" s="140"/>
      <c r="D414" s="141"/>
      <c r="E414" s="165" t="s">
        <v>49</v>
      </c>
      <c r="F414" s="149"/>
      <c r="G414" s="124"/>
      <c r="H414" s="143">
        <f>(10.7/1.167+1)</f>
        <v>10.168808911739502</v>
      </c>
      <c r="I414" s="145" t="s">
        <v>20</v>
      </c>
      <c r="J414" s="37"/>
      <c r="K414" s="159"/>
      <c r="L414" s="160"/>
    </row>
    <row r="415" spans="1:12" s="21" customFormat="1" x14ac:dyDescent="0.2">
      <c r="A415" s="129">
        <f>IF(F415&lt;&gt;"",1+MAX($A$7:A414),"")</f>
        <v>155</v>
      </c>
      <c r="B415" s="140" t="s">
        <v>105</v>
      </c>
      <c r="C415" s="140" t="s">
        <v>104</v>
      </c>
      <c r="D415" s="141"/>
      <c r="E415" s="163" t="s">
        <v>127</v>
      </c>
      <c r="F415" s="149">
        <f>10.7*4</f>
        <v>42.8</v>
      </c>
      <c r="G415" s="124">
        <v>0.1</v>
      </c>
      <c r="H415" s="143">
        <f>F415*(1+G415)</f>
        <v>47.08</v>
      </c>
      <c r="I415" s="145" t="s">
        <v>15</v>
      </c>
      <c r="J415" s="37">
        <f>J$151</f>
        <v>0</v>
      </c>
      <c r="K415" s="159">
        <f>J415*H415</f>
        <v>0</v>
      </c>
      <c r="L415" s="160"/>
    </row>
    <row r="416" spans="1:12" s="21" customFormat="1" x14ac:dyDescent="0.2">
      <c r="A416" s="129" t="str">
        <f>IF(F416&lt;&gt;"",1+MAX($A$7:A415),"")</f>
        <v/>
      </c>
      <c r="B416" s="140"/>
      <c r="C416" s="140"/>
      <c r="D416" s="141"/>
      <c r="E416" s="163"/>
      <c r="F416" s="149"/>
      <c r="G416" s="124"/>
      <c r="H416" s="143"/>
      <c r="I416" s="145"/>
      <c r="J416" s="37"/>
      <c r="K416" s="159"/>
      <c r="L416" s="160"/>
    </row>
    <row r="417" spans="1:12" s="21" customFormat="1" x14ac:dyDescent="0.2">
      <c r="A417" s="129" t="str">
        <f>IF(F417&lt;&gt;"",1+MAX($A$7:A416),"")</f>
        <v/>
      </c>
      <c r="B417" s="140"/>
      <c r="C417" s="140"/>
      <c r="D417" s="141"/>
      <c r="E417" s="158" t="s">
        <v>145</v>
      </c>
      <c r="F417" s="149"/>
      <c r="G417" s="144"/>
      <c r="H417" s="143"/>
      <c r="I417" s="145"/>
      <c r="J417" s="37"/>
      <c r="K417" s="159"/>
      <c r="L417" s="160"/>
    </row>
    <row r="418" spans="1:12" s="21" customFormat="1" x14ac:dyDescent="0.2">
      <c r="A418" s="129">
        <f>IF(F418&lt;&gt;"",1+MAX($A$7:A417),"")</f>
        <v>156</v>
      </c>
      <c r="B418" s="140" t="s">
        <v>105</v>
      </c>
      <c r="C418" s="140" t="s">
        <v>104</v>
      </c>
      <c r="D418" s="149"/>
      <c r="E418" s="163" t="s">
        <v>115</v>
      </c>
      <c r="F418" s="149">
        <f>31.4*9.75</f>
        <v>306.14999999999998</v>
      </c>
      <c r="G418" s="124">
        <v>0.1</v>
      </c>
      <c r="H418" s="143">
        <f>F418*(1+G418)</f>
        <v>336.76499999999999</v>
      </c>
      <c r="I418" s="145" t="s">
        <v>18</v>
      </c>
      <c r="J418" s="37">
        <f>J$143</f>
        <v>0</v>
      </c>
      <c r="K418" s="159">
        <f>J418*H418</f>
        <v>0</v>
      </c>
      <c r="L418" s="160"/>
    </row>
    <row r="419" spans="1:12" s="21" customFormat="1" x14ac:dyDescent="0.2">
      <c r="A419" s="129" t="str">
        <f>IF(F419&lt;&gt;"",1+MAX($A$7:A418),"")</f>
        <v/>
      </c>
      <c r="B419" s="140"/>
      <c r="C419" s="140"/>
      <c r="D419" s="141"/>
      <c r="E419" s="165" t="s">
        <v>41</v>
      </c>
      <c r="F419" s="166"/>
      <c r="G419" s="167"/>
      <c r="H419" s="143">
        <f>ROUNDUP((H418)/32,0)</f>
        <v>11</v>
      </c>
      <c r="I419" s="145" t="s">
        <v>42</v>
      </c>
      <c r="J419" s="37"/>
      <c r="K419" s="159"/>
      <c r="L419" s="160"/>
    </row>
    <row r="420" spans="1:12" s="21" customFormat="1" x14ac:dyDescent="0.2">
      <c r="A420" s="129" t="str">
        <f>IF(F420&lt;&gt;"",1+MAX($A$7:A419),"")</f>
        <v/>
      </c>
      <c r="B420" s="140"/>
      <c r="C420" s="140"/>
      <c r="D420" s="141"/>
      <c r="E420" s="165" t="s">
        <v>43</v>
      </c>
      <c r="F420" s="166"/>
      <c r="G420" s="167"/>
      <c r="H420" s="143">
        <f>ROUNDUP(H419*24/500,0)</f>
        <v>1</v>
      </c>
      <c r="I420" s="145" t="s">
        <v>44</v>
      </c>
      <c r="J420" s="37"/>
      <c r="K420" s="159"/>
      <c r="L420" s="160"/>
    </row>
    <row r="421" spans="1:12" s="21" customFormat="1" x14ac:dyDescent="0.2">
      <c r="A421" s="129" t="str">
        <f>IF(F421&lt;&gt;"",1+MAX($A$7:A420),"")</f>
        <v/>
      </c>
      <c r="B421" s="140"/>
      <c r="C421" s="140"/>
      <c r="D421" s="141"/>
      <c r="E421" s="165" t="s">
        <v>45</v>
      </c>
      <c r="F421" s="166"/>
      <c r="G421" s="167"/>
      <c r="H421" s="168">
        <f>ROUNDUP((H418)/200,0)</f>
        <v>2</v>
      </c>
      <c r="I421" s="145" t="s">
        <v>46</v>
      </c>
      <c r="J421" s="37"/>
      <c r="K421" s="159"/>
      <c r="L421" s="160"/>
    </row>
    <row r="422" spans="1:12" s="21" customFormat="1" x14ac:dyDescent="0.2">
      <c r="A422" s="129" t="str">
        <f>IF(F422&lt;&gt;"",1+MAX($A$7:A421),"")</f>
        <v/>
      </c>
      <c r="B422" s="140"/>
      <c r="C422" s="140"/>
      <c r="D422" s="141"/>
      <c r="E422" s="165" t="s">
        <v>47</v>
      </c>
      <c r="F422" s="166"/>
      <c r="G422" s="167"/>
      <c r="H422" s="168">
        <f>ROUNDUP((H418)*5.25/1000,0)</f>
        <v>2</v>
      </c>
      <c r="I422" s="145" t="s">
        <v>48</v>
      </c>
      <c r="J422" s="37"/>
      <c r="K422" s="159"/>
      <c r="L422" s="160"/>
    </row>
    <row r="423" spans="1:12" s="21" customFormat="1" x14ac:dyDescent="0.2">
      <c r="A423" s="129">
        <f>IF(F423&lt;&gt;"",1+MAX($A$7:A422),"")</f>
        <v>157</v>
      </c>
      <c r="B423" s="140" t="s">
        <v>105</v>
      </c>
      <c r="C423" s="140" t="s">
        <v>104</v>
      </c>
      <c r="D423" s="149"/>
      <c r="E423" s="163" t="s">
        <v>101</v>
      </c>
      <c r="F423" s="149">
        <f>66*9.75</f>
        <v>643.5</v>
      </c>
      <c r="G423" s="124">
        <v>0.1</v>
      </c>
      <c r="H423" s="143">
        <f>F423*(1+G423)</f>
        <v>707.85</v>
      </c>
      <c r="I423" s="145" t="s">
        <v>18</v>
      </c>
      <c r="J423" s="37">
        <f>J$160</f>
        <v>0</v>
      </c>
      <c r="K423" s="159">
        <f>J423*H423</f>
        <v>0</v>
      </c>
      <c r="L423" s="160"/>
    </row>
    <row r="424" spans="1:12" s="21" customFormat="1" x14ac:dyDescent="0.2">
      <c r="A424" s="129" t="str">
        <f>IF(F424&lt;&gt;"",1+MAX($A$7:A423),"")</f>
        <v/>
      </c>
      <c r="B424" s="140"/>
      <c r="C424" s="140"/>
      <c r="D424" s="141"/>
      <c r="E424" s="165" t="s">
        <v>41</v>
      </c>
      <c r="F424" s="166"/>
      <c r="G424" s="167"/>
      <c r="H424" s="143">
        <f>ROUNDUP((H423)/32,0)</f>
        <v>23</v>
      </c>
      <c r="I424" s="145" t="s">
        <v>42</v>
      </c>
      <c r="J424" s="37"/>
      <c r="K424" s="159"/>
      <c r="L424" s="160"/>
    </row>
    <row r="425" spans="1:12" s="21" customFormat="1" x14ac:dyDescent="0.2">
      <c r="A425" s="129" t="str">
        <f>IF(F425&lt;&gt;"",1+MAX($A$7:A424),"")</f>
        <v/>
      </c>
      <c r="B425" s="140"/>
      <c r="C425" s="140"/>
      <c r="D425" s="141"/>
      <c r="E425" s="165" t="s">
        <v>43</v>
      </c>
      <c r="F425" s="166"/>
      <c r="G425" s="167"/>
      <c r="H425" s="143">
        <f>ROUNDUP(H424*24/500,0)</f>
        <v>2</v>
      </c>
      <c r="I425" s="145" t="s">
        <v>44</v>
      </c>
      <c r="J425" s="37"/>
      <c r="K425" s="159"/>
      <c r="L425" s="160"/>
    </row>
    <row r="426" spans="1:12" s="21" customFormat="1" x14ac:dyDescent="0.2">
      <c r="A426" s="129" t="str">
        <f>IF(F426&lt;&gt;"",1+MAX($A$7:A425),"")</f>
        <v/>
      </c>
      <c r="B426" s="140"/>
      <c r="C426" s="140"/>
      <c r="D426" s="141"/>
      <c r="E426" s="165" t="s">
        <v>45</v>
      </c>
      <c r="F426" s="166"/>
      <c r="G426" s="167"/>
      <c r="H426" s="168">
        <f>ROUNDUP((H423)/200,0)</f>
        <v>4</v>
      </c>
      <c r="I426" s="145" t="s">
        <v>46</v>
      </c>
      <c r="J426" s="37"/>
      <c r="K426" s="159"/>
      <c r="L426" s="160"/>
    </row>
    <row r="427" spans="1:12" s="21" customFormat="1" x14ac:dyDescent="0.2">
      <c r="A427" s="129" t="str">
        <f>IF(F427&lt;&gt;"",1+MAX($A$7:A426),"")</f>
        <v/>
      </c>
      <c r="B427" s="140"/>
      <c r="C427" s="140"/>
      <c r="D427" s="141"/>
      <c r="E427" s="165" t="s">
        <v>47</v>
      </c>
      <c r="F427" s="166"/>
      <c r="G427" s="167"/>
      <c r="H427" s="168">
        <f>ROUNDUP((H423)*5.25/1000,0)</f>
        <v>4</v>
      </c>
      <c r="I427" s="145" t="s">
        <v>48</v>
      </c>
      <c r="J427" s="37"/>
      <c r="K427" s="159"/>
      <c r="L427" s="160"/>
    </row>
    <row r="428" spans="1:12" s="21" customFormat="1" x14ac:dyDescent="0.2">
      <c r="A428" s="129">
        <f>IF(F428&lt;&gt;"",1+MAX($A$7:A427),"")</f>
        <v>158</v>
      </c>
      <c r="B428" s="140" t="s">
        <v>105</v>
      </c>
      <c r="C428" s="140" t="s">
        <v>104</v>
      </c>
      <c r="D428" s="141"/>
      <c r="E428" s="163" t="s">
        <v>102</v>
      </c>
      <c r="F428" s="149">
        <f>97.4*2</f>
        <v>194.8</v>
      </c>
      <c r="G428" s="124">
        <v>0.1</v>
      </c>
      <c r="H428" s="143">
        <f>F428*(1+G428)</f>
        <v>214.28000000000003</v>
      </c>
      <c r="I428" s="145" t="s">
        <v>15</v>
      </c>
      <c r="J428" s="37">
        <f>J$148</f>
        <v>0</v>
      </c>
      <c r="K428" s="159">
        <f>J428*H428</f>
        <v>0</v>
      </c>
      <c r="L428" s="160"/>
    </row>
    <row r="429" spans="1:12" s="21" customFormat="1" x14ac:dyDescent="0.2">
      <c r="A429" s="129" t="str">
        <f>IF(F429&lt;&gt;"",1+MAX($A$7:A428),"")</f>
        <v/>
      </c>
      <c r="B429" s="140"/>
      <c r="C429" s="140"/>
      <c r="D429" s="141"/>
      <c r="E429" s="163"/>
      <c r="F429" s="149"/>
      <c r="G429" s="124"/>
      <c r="H429" s="143"/>
      <c r="I429" s="145"/>
      <c r="J429" s="37"/>
      <c r="K429" s="159"/>
      <c r="L429" s="160"/>
    </row>
    <row r="430" spans="1:12" s="21" customFormat="1" x14ac:dyDescent="0.2">
      <c r="A430" s="129" t="str">
        <f>IF(F430&lt;&gt;"",1+MAX($A$7:A429),"")</f>
        <v/>
      </c>
      <c r="B430" s="140"/>
      <c r="C430" s="140"/>
      <c r="D430" s="141"/>
      <c r="E430" s="158" t="s">
        <v>150</v>
      </c>
      <c r="F430" s="149"/>
      <c r="G430" s="144"/>
      <c r="H430" s="143"/>
      <c r="I430" s="145"/>
      <c r="J430" s="37"/>
      <c r="K430" s="159"/>
      <c r="L430" s="160"/>
    </row>
    <row r="431" spans="1:12" s="21" customFormat="1" x14ac:dyDescent="0.2">
      <c r="A431" s="129">
        <f>IF(F431&lt;&gt;"",1+MAX($A$7:A430),"")</f>
        <v>159</v>
      </c>
      <c r="B431" s="140" t="s">
        <v>105</v>
      </c>
      <c r="C431" s="140" t="s">
        <v>147</v>
      </c>
      <c r="D431" s="149"/>
      <c r="E431" s="163" t="s">
        <v>115</v>
      </c>
      <c r="F431" s="149">
        <f>78.7*9.75+234.3*9.75</f>
        <v>3051.75</v>
      </c>
      <c r="G431" s="124">
        <v>0.1</v>
      </c>
      <c r="H431" s="143">
        <f>F431*(1+G431)</f>
        <v>3356.9250000000002</v>
      </c>
      <c r="I431" s="145" t="s">
        <v>18</v>
      </c>
      <c r="J431" s="37">
        <f>J$143</f>
        <v>0</v>
      </c>
      <c r="K431" s="159">
        <f>J431*H431</f>
        <v>0</v>
      </c>
      <c r="L431" s="160"/>
    </row>
    <row r="432" spans="1:12" s="21" customFormat="1" x14ac:dyDescent="0.2">
      <c r="A432" s="129" t="str">
        <f>IF(F432&lt;&gt;"",1+MAX($A$7:A431),"")</f>
        <v/>
      </c>
      <c r="B432" s="140"/>
      <c r="C432" s="140"/>
      <c r="D432" s="141"/>
      <c r="E432" s="165" t="s">
        <v>41</v>
      </c>
      <c r="F432" s="166"/>
      <c r="G432" s="167"/>
      <c r="H432" s="143">
        <f>ROUNDUP((H431)/32,0)</f>
        <v>105</v>
      </c>
      <c r="I432" s="145" t="s">
        <v>42</v>
      </c>
      <c r="J432" s="37"/>
      <c r="K432" s="159"/>
      <c r="L432" s="160"/>
    </row>
    <row r="433" spans="1:12" s="21" customFormat="1" x14ac:dyDescent="0.2">
      <c r="A433" s="129" t="str">
        <f>IF(F433&lt;&gt;"",1+MAX($A$7:A432),"")</f>
        <v/>
      </c>
      <c r="B433" s="140"/>
      <c r="C433" s="140"/>
      <c r="D433" s="141"/>
      <c r="E433" s="165" t="s">
        <v>43</v>
      </c>
      <c r="F433" s="166"/>
      <c r="G433" s="167"/>
      <c r="H433" s="143">
        <f>ROUNDUP(H432*24/500,0)</f>
        <v>6</v>
      </c>
      <c r="I433" s="145" t="s">
        <v>44</v>
      </c>
      <c r="J433" s="37"/>
      <c r="K433" s="159"/>
      <c r="L433" s="160"/>
    </row>
    <row r="434" spans="1:12" s="21" customFormat="1" x14ac:dyDescent="0.2">
      <c r="A434" s="129" t="str">
        <f>IF(F434&lt;&gt;"",1+MAX($A$7:A433),"")</f>
        <v/>
      </c>
      <c r="B434" s="140"/>
      <c r="C434" s="140"/>
      <c r="D434" s="141"/>
      <c r="E434" s="165" t="s">
        <v>45</v>
      </c>
      <c r="F434" s="166"/>
      <c r="G434" s="167"/>
      <c r="H434" s="168">
        <f>ROUNDUP((H431)/200,0)</f>
        <v>17</v>
      </c>
      <c r="I434" s="145" t="s">
        <v>46</v>
      </c>
      <c r="J434" s="37"/>
      <c r="K434" s="159"/>
      <c r="L434" s="160"/>
    </row>
    <row r="435" spans="1:12" s="21" customFormat="1" x14ac:dyDescent="0.2">
      <c r="A435" s="129" t="str">
        <f>IF(F435&lt;&gt;"",1+MAX($A$7:A434),"")</f>
        <v/>
      </c>
      <c r="B435" s="140"/>
      <c r="C435" s="140"/>
      <c r="D435" s="141"/>
      <c r="E435" s="165" t="s">
        <v>47</v>
      </c>
      <c r="F435" s="166"/>
      <c r="G435" s="167"/>
      <c r="H435" s="168">
        <f>ROUNDUP((H431)*5.25/1000,0)</f>
        <v>18</v>
      </c>
      <c r="I435" s="145" t="s">
        <v>48</v>
      </c>
      <c r="J435" s="37"/>
      <c r="K435" s="159"/>
      <c r="L435" s="160"/>
    </row>
    <row r="436" spans="1:12" s="21" customFormat="1" x14ac:dyDescent="0.2">
      <c r="A436" s="129">
        <f>IF(F436&lt;&gt;"",1+MAX($A$7:A435),"")</f>
        <v>160</v>
      </c>
      <c r="B436" s="140" t="s">
        <v>105</v>
      </c>
      <c r="C436" s="140" t="s">
        <v>147</v>
      </c>
      <c r="D436" s="141"/>
      <c r="E436" s="163" t="s">
        <v>102</v>
      </c>
      <c r="F436" s="149">
        <f>(78.7+234.3)*2</f>
        <v>626</v>
      </c>
      <c r="G436" s="124">
        <v>0.1</v>
      </c>
      <c r="H436" s="143">
        <f>F436*(1+G436)</f>
        <v>688.6</v>
      </c>
      <c r="I436" s="145" t="s">
        <v>15</v>
      </c>
      <c r="J436" s="37">
        <f>J$148</f>
        <v>0</v>
      </c>
      <c r="K436" s="159">
        <f>J436*H436</f>
        <v>0</v>
      </c>
      <c r="L436" s="160"/>
    </row>
    <row r="437" spans="1:12" s="21" customFormat="1" x14ac:dyDescent="0.2">
      <c r="A437" s="129">
        <f>IF(F437&lt;&gt;"",1+MAX($A$7:A436),"")</f>
        <v>161</v>
      </c>
      <c r="B437" s="140" t="s">
        <v>105</v>
      </c>
      <c r="C437" s="140" t="s">
        <v>147</v>
      </c>
      <c r="D437" s="149"/>
      <c r="E437" s="163" t="s">
        <v>146</v>
      </c>
      <c r="F437" s="149">
        <f t="shared" ref="F437" si="74">78.7*9.75+234.3*9.75</f>
        <v>3051.75</v>
      </c>
      <c r="G437" s="124">
        <v>0.1</v>
      </c>
      <c r="H437" s="143">
        <f>F437*(1+G437)</f>
        <v>3356.9250000000002</v>
      </c>
      <c r="I437" s="145" t="s">
        <v>18</v>
      </c>
      <c r="J437" s="37">
        <f>J$360</f>
        <v>0</v>
      </c>
      <c r="K437" s="159">
        <f>J437*H437</f>
        <v>0</v>
      </c>
      <c r="L437" s="160"/>
    </row>
    <row r="438" spans="1:12" s="21" customFormat="1" x14ac:dyDescent="0.2">
      <c r="A438" s="129" t="str">
        <f>IF(F438&lt;&gt;"",1+MAX($A$7:A437),"")</f>
        <v/>
      </c>
      <c r="B438" s="140"/>
      <c r="C438" s="140"/>
      <c r="D438" s="141"/>
      <c r="E438" s="165" t="s">
        <v>49</v>
      </c>
      <c r="F438" s="149"/>
      <c r="G438" s="124"/>
      <c r="H438" s="143">
        <f>((78.7+234.3)/1.167+1)</f>
        <v>269.20908311910881</v>
      </c>
      <c r="I438" s="145" t="s">
        <v>20</v>
      </c>
      <c r="J438" s="37"/>
      <c r="K438" s="159"/>
      <c r="L438" s="160"/>
    </row>
    <row r="439" spans="1:12" s="21" customFormat="1" x14ac:dyDescent="0.2">
      <c r="A439" s="129">
        <f>IF(F439&lt;&gt;"",1+MAX($A$7:A438),"")</f>
        <v>162</v>
      </c>
      <c r="B439" s="140" t="s">
        <v>105</v>
      </c>
      <c r="C439" s="140" t="s">
        <v>147</v>
      </c>
      <c r="D439" s="141"/>
      <c r="E439" s="163" t="s">
        <v>138</v>
      </c>
      <c r="F439" s="149">
        <f>(78.7+234.3)*2</f>
        <v>626</v>
      </c>
      <c r="G439" s="124">
        <v>0.1</v>
      </c>
      <c r="H439" s="143">
        <f>F439*(1+G439)</f>
        <v>688.6</v>
      </c>
      <c r="I439" s="145" t="s">
        <v>15</v>
      </c>
      <c r="J439" s="37">
        <f>J$362</f>
        <v>0</v>
      </c>
      <c r="K439" s="159">
        <f>J439*H439</f>
        <v>0</v>
      </c>
      <c r="L439" s="160"/>
    </row>
    <row r="440" spans="1:12" s="21" customFormat="1" x14ac:dyDescent="0.2">
      <c r="A440" s="129">
        <f>IF(F440&lt;&gt;"",1+MAX($A$7:A439),"")</f>
        <v>163</v>
      </c>
      <c r="B440" s="140" t="s">
        <v>105</v>
      </c>
      <c r="C440" s="140" t="s">
        <v>147</v>
      </c>
      <c r="D440" s="149"/>
      <c r="E440" s="163" t="s">
        <v>349</v>
      </c>
      <c r="F440" s="149">
        <f>(78.7+234.3)*9.75</f>
        <v>3051.75</v>
      </c>
      <c r="G440" s="124">
        <v>0.1</v>
      </c>
      <c r="H440" s="143">
        <f>F440*(1+G440)</f>
        <v>3356.9250000000002</v>
      </c>
      <c r="I440" s="145" t="s">
        <v>18</v>
      </c>
      <c r="J440" s="37">
        <f>J$276</f>
        <v>0</v>
      </c>
      <c r="K440" s="159">
        <f>J440*H440</f>
        <v>0</v>
      </c>
      <c r="L440" s="160"/>
    </row>
    <row r="441" spans="1:12" s="21" customFormat="1" x14ac:dyDescent="0.2">
      <c r="A441" s="129">
        <f>IF(F441&lt;&gt;"",1+MAX($A$7:A440),"")</f>
        <v>164</v>
      </c>
      <c r="B441" s="140" t="s">
        <v>105</v>
      </c>
      <c r="C441" s="140" t="s">
        <v>147</v>
      </c>
      <c r="D441" s="149"/>
      <c r="E441" s="163" t="s">
        <v>148</v>
      </c>
      <c r="F441" s="149">
        <f>(78.7+234.3)*9.75</f>
        <v>3051.75</v>
      </c>
      <c r="G441" s="124">
        <v>0.1</v>
      </c>
      <c r="H441" s="143">
        <f>F441*(1+G441)</f>
        <v>3356.9250000000002</v>
      </c>
      <c r="I441" s="145" t="s">
        <v>18</v>
      </c>
      <c r="J441" s="127">
        <v>0</v>
      </c>
      <c r="K441" s="159">
        <f>J441*H441</f>
        <v>0</v>
      </c>
      <c r="L441" s="160"/>
    </row>
    <row r="442" spans="1:12" s="21" customFormat="1" x14ac:dyDescent="0.2">
      <c r="A442" s="129">
        <f>IF(F442&lt;&gt;"",1+MAX($A$7:A441),"")</f>
        <v>165</v>
      </c>
      <c r="B442" s="140" t="s">
        <v>105</v>
      </c>
      <c r="C442" s="140" t="s">
        <v>147</v>
      </c>
      <c r="D442" s="149"/>
      <c r="E442" s="163" t="s">
        <v>149</v>
      </c>
      <c r="F442" s="149">
        <f>(78.7+234.3)*11</f>
        <v>3443</v>
      </c>
      <c r="G442" s="124">
        <v>0.1</v>
      </c>
      <c r="H442" s="143">
        <f>F442*(1+G442)</f>
        <v>3787.3</v>
      </c>
      <c r="I442" s="145" t="s">
        <v>18</v>
      </c>
      <c r="J442" s="127">
        <v>0</v>
      </c>
      <c r="K442" s="159">
        <f>J442*H442</f>
        <v>0</v>
      </c>
      <c r="L442" s="160"/>
    </row>
    <row r="443" spans="1:12" s="21" customFormat="1" x14ac:dyDescent="0.2">
      <c r="A443" s="129" t="str">
        <f>IF(F443&lt;&gt;"",1+MAX($A$7:A442),"")</f>
        <v/>
      </c>
      <c r="B443" s="140"/>
      <c r="C443" s="140"/>
      <c r="D443" s="141"/>
      <c r="E443" s="163"/>
      <c r="F443" s="149"/>
      <c r="G443" s="124"/>
      <c r="H443" s="143"/>
      <c r="I443" s="145"/>
      <c r="J443" s="37"/>
      <c r="K443" s="159"/>
      <c r="L443" s="160"/>
    </row>
    <row r="444" spans="1:12" s="21" customFormat="1" x14ac:dyDescent="0.2">
      <c r="A444" s="129" t="str">
        <f>IF(F444&lt;&gt;"",1+MAX($A$7:A443),"")</f>
        <v/>
      </c>
      <c r="B444" s="140"/>
      <c r="C444" s="140"/>
      <c r="D444" s="141"/>
      <c r="E444" s="158" t="s">
        <v>151</v>
      </c>
      <c r="F444" s="149"/>
      <c r="G444" s="144"/>
      <c r="H444" s="143"/>
      <c r="I444" s="145"/>
      <c r="J444" s="37"/>
      <c r="K444" s="159"/>
      <c r="L444" s="160"/>
    </row>
    <row r="445" spans="1:12" s="21" customFormat="1" x14ac:dyDescent="0.2">
      <c r="A445" s="129">
        <f>IF(F445&lt;&gt;"",1+MAX($A$7:A444),"")</f>
        <v>166</v>
      </c>
      <c r="B445" s="140" t="s">
        <v>105</v>
      </c>
      <c r="C445" s="140" t="s">
        <v>147</v>
      </c>
      <c r="D445" s="149"/>
      <c r="E445" s="163" t="s">
        <v>115</v>
      </c>
      <c r="F445" s="149">
        <f>446*9.75</f>
        <v>4348.5</v>
      </c>
      <c r="G445" s="124">
        <v>0.1</v>
      </c>
      <c r="H445" s="143">
        <f>F445*(1+G445)</f>
        <v>4783.3500000000004</v>
      </c>
      <c r="I445" s="145" t="s">
        <v>18</v>
      </c>
      <c r="J445" s="37">
        <f>J$143</f>
        <v>0</v>
      </c>
      <c r="K445" s="159">
        <f>J445*H445</f>
        <v>0</v>
      </c>
      <c r="L445" s="160"/>
    </row>
    <row r="446" spans="1:12" s="21" customFormat="1" x14ac:dyDescent="0.2">
      <c r="A446" s="129" t="str">
        <f>IF(F446&lt;&gt;"",1+MAX($A$7:A445),"")</f>
        <v/>
      </c>
      <c r="B446" s="140"/>
      <c r="C446" s="140"/>
      <c r="D446" s="141"/>
      <c r="E446" s="165" t="s">
        <v>41</v>
      </c>
      <c r="F446" s="166"/>
      <c r="G446" s="167"/>
      <c r="H446" s="143">
        <f>ROUNDUP((H445)/32,0)</f>
        <v>150</v>
      </c>
      <c r="I446" s="145" t="s">
        <v>42</v>
      </c>
      <c r="J446" s="37"/>
      <c r="K446" s="159"/>
      <c r="L446" s="160"/>
    </row>
    <row r="447" spans="1:12" s="21" customFormat="1" x14ac:dyDescent="0.2">
      <c r="A447" s="129" t="str">
        <f>IF(F447&lt;&gt;"",1+MAX($A$7:A446),"")</f>
        <v/>
      </c>
      <c r="B447" s="140"/>
      <c r="C447" s="140"/>
      <c r="D447" s="141"/>
      <c r="E447" s="165" t="s">
        <v>43</v>
      </c>
      <c r="F447" s="166"/>
      <c r="G447" s="167"/>
      <c r="H447" s="143">
        <f>ROUNDUP(H446*24/500,0)</f>
        <v>8</v>
      </c>
      <c r="I447" s="145" t="s">
        <v>44</v>
      </c>
      <c r="J447" s="37"/>
      <c r="K447" s="159"/>
      <c r="L447" s="160"/>
    </row>
    <row r="448" spans="1:12" s="21" customFormat="1" x14ac:dyDescent="0.2">
      <c r="A448" s="129" t="str">
        <f>IF(F448&lt;&gt;"",1+MAX($A$7:A447),"")</f>
        <v/>
      </c>
      <c r="B448" s="140"/>
      <c r="C448" s="140"/>
      <c r="D448" s="141"/>
      <c r="E448" s="165" t="s">
        <v>45</v>
      </c>
      <c r="F448" s="166"/>
      <c r="G448" s="167"/>
      <c r="H448" s="168">
        <f>ROUNDUP((H445)/200,0)</f>
        <v>24</v>
      </c>
      <c r="I448" s="145" t="s">
        <v>46</v>
      </c>
      <c r="J448" s="37"/>
      <c r="K448" s="159"/>
      <c r="L448" s="160"/>
    </row>
    <row r="449" spans="1:12" s="21" customFormat="1" x14ac:dyDescent="0.2">
      <c r="A449" s="129" t="str">
        <f>IF(F449&lt;&gt;"",1+MAX($A$7:A448),"")</f>
        <v/>
      </c>
      <c r="B449" s="140"/>
      <c r="C449" s="140"/>
      <c r="D449" s="141"/>
      <c r="E449" s="165" t="s">
        <v>47</v>
      </c>
      <c r="F449" s="166"/>
      <c r="G449" s="167"/>
      <c r="H449" s="168">
        <f>ROUNDUP((H445)*5.25/1000,0)</f>
        <v>26</v>
      </c>
      <c r="I449" s="145" t="s">
        <v>48</v>
      </c>
      <c r="J449" s="37"/>
      <c r="K449" s="159"/>
      <c r="L449" s="160"/>
    </row>
    <row r="450" spans="1:12" s="21" customFormat="1" x14ac:dyDescent="0.2">
      <c r="A450" s="129">
        <f>IF(F450&lt;&gt;"",1+MAX($A$7:A449),"")</f>
        <v>167</v>
      </c>
      <c r="B450" s="140" t="s">
        <v>105</v>
      </c>
      <c r="C450" s="140" t="s">
        <v>147</v>
      </c>
      <c r="D450" s="141"/>
      <c r="E450" s="163" t="s">
        <v>102</v>
      </c>
      <c r="F450" s="149">
        <f>446*2</f>
        <v>892</v>
      </c>
      <c r="G450" s="124">
        <v>0.1</v>
      </c>
      <c r="H450" s="143">
        <f>F450*(1+G450)</f>
        <v>981.2</v>
      </c>
      <c r="I450" s="145" t="s">
        <v>15</v>
      </c>
      <c r="J450" s="37">
        <f>J$148</f>
        <v>0</v>
      </c>
      <c r="K450" s="159">
        <f>J450*H450</f>
        <v>0</v>
      </c>
      <c r="L450" s="160"/>
    </row>
    <row r="451" spans="1:12" s="21" customFormat="1" x14ac:dyDescent="0.2">
      <c r="A451" s="129">
        <f>IF(F451&lt;&gt;"",1+MAX($A$7:A450),"")</f>
        <v>168</v>
      </c>
      <c r="B451" s="140" t="s">
        <v>105</v>
      </c>
      <c r="C451" s="140" t="s">
        <v>147</v>
      </c>
      <c r="D451" s="149"/>
      <c r="E451" s="163" t="s">
        <v>349</v>
      </c>
      <c r="F451" s="149">
        <f t="shared" ref="F451" si="75">446*9.75</f>
        <v>4348.5</v>
      </c>
      <c r="G451" s="124">
        <v>0.1</v>
      </c>
      <c r="H451" s="143">
        <f>F451*(1+G451)</f>
        <v>4783.3500000000004</v>
      </c>
      <c r="I451" s="145" t="s">
        <v>18</v>
      </c>
      <c r="J451" s="37">
        <f>J$276</f>
        <v>0</v>
      </c>
      <c r="K451" s="159">
        <f>J451*H451</f>
        <v>0</v>
      </c>
      <c r="L451" s="160"/>
    </row>
    <row r="452" spans="1:12" s="21" customFormat="1" x14ac:dyDescent="0.2">
      <c r="A452" s="129">
        <f>IF(F452&lt;&gt;"",1+MAX($A$7:A451),"")</f>
        <v>169</v>
      </c>
      <c r="B452" s="140" t="s">
        <v>105</v>
      </c>
      <c r="C452" s="140" t="s">
        <v>147</v>
      </c>
      <c r="D452" s="149"/>
      <c r="E452" s="163" t="s">
        <v>149</v>
      </c>
      <c r="F452" s="149">
        <f>446*11</f>
        <v>4906</v>
      </c>
      <c r="G452" s="124">
        <v>0.1</v>
      </c>
      <c r="H452" s="143">
        <f>F452*(1+G452)</f>
        <v>5396.6</v>
      </c>
      <c r="I452" s="145" t="s">
        <v>18</v>
      </c>
      <c r="J452" s="37">
        <f>J$442</f>
        <v>0</v>
      </c>
      <c r="K452" s="159">
        <f>J452*H452</f>
        <v>0</v>
      </c>
      <c r="L452" s="160"/>
    </row>
    <row r="453" spans="1:12" s="21" customFormat="1" x14ac:dyDescent="0.2">
      <c r="A453" s="129" t="str">
        <f>IF(F453&lt;&gt;"",1+MAX($A$7:A452),"")</f>
        <v/>
      </c>
      <c r="B453" s="140"/>
      <c r="C453" s="140"/>
      <c r="D453" s="141"/>
      <c r="E453" s="163"/>
      <c r="F453" s="149"/>
      <c r="G453" s="124"/>
      <c r="H453" s="143"/>
      <c r="I453" s="145"/>
      <c r="J453" s="37"/>
      <c r="K453" s="159"/>
      <c r="L453" s="160"/>
    </row>
    <row r="454" spans="1:12" s="21" customFormat="1" x14ac:dyDescent="0.2">
      <c r="A454" s="129" t="str">
        <f>IF(F454&lt;&gt;"",1+MAX($A$7:A453),"")</f>
        <v/>
      </c>
      <c r="B454" s="140"/>
      <c r="C454" s="140"/>
      <c r="D454" s="141"/>
      <c r="E454" s="158" t="s">
        <v>152</v>
      </c>
      <c r="F454" s="149"/>
      <c r="G454" s="144"/>
      <c r="H454" s="143"/>
      <c r="I454" s="145"/>
      <c r="J454" s="37"/>
      <c r="K454" s="159"/>
      <c r="L454" s="160"/>
    </row>
    <row r="455" spans="1:12" s="21" customFormat="1" x14ac:dyDescent="0.2">
      <c r="A455" s="129">
        <f>IF(F455&lt;&gt;"",1+MAX($A$7:A454),"")</f>
        <v>170</v>
      </c>
      <c r="B455" s="140" t="s">
        <v>105</v>
      </c>
      <c r="C455" s="140" t="s">
        <v>147</v>
      </c>
      <c r="D455" s="149"/>
      <c r="E455" s="163" t="s">
        <v>133</v>
      </c>
      <c r="F455" s="149">
        <f>34.4*9.75*2</f>
        <v>670.8</v>
      </c>
      <c r="G455" s="124">
        <v>0.1</v>
      </c>
      <c r="H455" s="143">
        <f>F455*(1+G455)</f>
        <v>737.88</v>
      </c>
      <c r="I455" s="145" t="s">
        <v>18</v>
      </c>
      <c r="J455" s="37">
        <f>J$143</f>
        <v>0</v>
      </c>
      <c r="K455" s="159">
        <f>J455*H455</f>
        <v>0</v>
      </c>
      <c r="L455" s="160"/>
    </row>
    <row r="456" spans="1:12" s="21" customFormat="1" x14ac:dyDescent="0.2">
      <c r="A456" s="129" t="str">
        <f>IF(F456&lt;&gt;"",1+MAX($A$7:A455),"")</f>
        <v/>
      </c>
      <c r="B456" s="140"/>
      <c r="C456" s="140"/>
      <c r="D456" s="141"/>
      <c r="E456" s="165" t="s">
        <v>41</v>
      </c>
      <c r="F456" s="166"/>
      <c r="G456" s="167"/>
      <c r="H456" s="143">
        <f>ROUNDUP((H455)/32,0)</f>
        <v>24</v>
      </c>
      <c r="I456" s="145" t="s">
        <v>42</v>
      </c>
      <c r="J456" s="37"/>
      <c r="K456" s="159"/>
      <c r="L456" s="160"/>
    </row>
    <row r="457" spans="1:12" s="21" customFormat="1" x14ac:dyDescent="0.2">
      <c r="A457" s="129" t="str">
        <f>IF(F457&lt;&gt;"",1+MAX($A$7:A456),"")</f>
        <v/>
      </c>
      <c r="B457" s="140"/>
      <c r="C457" s="140"/>
      <c r="D457" s="141"/>
      <c r="E457" s="165" t="s">
        <v>43</v>
      </c>
      <c r="F457" s="166"/>
      <c r="G457" s="167"/>
      <c r="H457" s="143">
        <f>ROUNDUP(H456*24/500,0)</f>
        <v>2</v>
      </c>
      <c r="I457" s="145" t="s">
        <v>44</v>
      </c>
      <c r="J457" s="37"/>
      <c r="K457" s="159"/>
      <c r="L457" s="160"/>
    </row>
    <row r="458" spans="1:12" s="21" customFormat="1" x14ac:dyDescent="0.2">
      <c r="A458" s="129" t="str">
        <f>IF(F458&lt;&gt;"",1+MAX($A$7:A457),"")</f>
        <v/>
      </c>
      <c r="B458" s="140"/>
      <c r="C458" s="140"/>
      <c r="D458" s="141"/>
      <c r="E458" s="165" t="s">
        <v>45</v>
      </c>
      <c r="F458" s="166"/>
      <c r="G458" s="167"/>
      <c r="H458" s="168">
        <f>ROUNDUP((H455)/200,0)</f>
        <v>4</v>
      </c>
      <c r="I458" s="145" t="s">
        <v>46</v>
      </c>
      <c r="J458" s="37"/>
      <c r="K458" s="159"/>
      <c r="L458" s="160"/>
    </row>
    <row r="459" spans="1:12" s="21" customFormat="1" x14ac:dyDescent="0.2">
      <c r="A459" s="129" t="str">
        <f>IF(F459&lt;&gt;"",1+MAX($A$7:A458),"")</f>
        <v/>
      </c>
      <c r="B459" s="140"/>
      <c r="C459" s="140"/>
      <c r="D459" s="141"/>
      <c r="E459" s="165" t="s">
        <v>47</v>
      </c>
      <c r="F459" s="166"/>
      <c r="G459" s="167"/>
      <c r="H459" s="168">
        <f>ROUNDUP((H455)*5.25/1000,0)</f>
        <v>4</v>
      </c>
      <c r="I459" s="145" t="s">
        <v>48</v>
      </c>
      <c r="J459" s="37"/>
      <c r="K459" s="159"/>
      <c r="L459" s="160"/>
    </row>
    <row r="460" spans="1:12" s="21" customFormat="1" x14ac:dyDescent="0.2">
      <c r="A460" s="129">
        <f>IF(F460&lt;&gt;"",1+MAX($A$7:A459),"")</f>
        <v>171</v>
      </c>
      <c r="B460" s="140" t="s">
        <v>105</v>
      </c>
      <c r="C460" s="140" t="s">
        <v>147</v>
      </c>
      <c r="D460" s="141"/>
      <c r="E460" s="163" t="s">
        <v>102</v>
      </c>
      <c r="F460" s="149">
        <f>34.4*2</f>
        <v>68.8</v>
      </c>
      <c r="G460" s="124">
        <v>0.1</v>
      </c>
      <c r="H460" s="143">
        <f>F460*(1+G460)</f>
        <v>75.680000000000007</v>
      </c>
      <c r="I460" s="145" t="s">
        <v>15</v>
      </c>
      <c r="J460" s="37">
        <f>J$148</f>
        <v>0</v>
      </c>
      <c r="K460" s="159">
        <f>J460*H460</f>
        <v>0</v>
      </c>
      <c r="L460" s="160"/>
    </row>
    <row r="461" spans="1:12" s="21" customFormat="1" x14ac:dyDescent="0.2">
      <c r="A461" s="129">
        <f>IF(F461&lt;&gt;"",1+MAX($A$7:A460),"")</f>
        <v>172</v>
      </c>
      <c r="B461" s="140" t="s">
        <v>105</v>
      </c>
      <c r="C461" s="140" t="s">
        <v>147</v>
      </c>
      <c r="D461" s="149"/>
      <c r="E461" s="163" t="s">
        <v>349</v>
      </c>
      <c r="F461" s="149">
        <f>34.4*9.75</f>
        <v>335.4</v>
      </c>
      <c r="G461" s="124">
        <v>0.1</v>
      </c>
      <c r="H461" s="143">
        <f>F461*(1+G461)</f>
        <v>368.94</v>
      </c>
      <c r="I461" s="145" t="s">
        <v>18</v>
      </c>
      <c r="J461" s="37">
        <f>J$276</f>
        <v>0</v>
      </c>
      <c r="K461" s="159">
        <f>J461*H461</f>
        <v>0</v>
      </c>
      <c r="L461" s="160"/>
    </row>
    <row r="462" spans="1:12" s="21" customFormat="1" x14ac:dyDescent="0.2">
      <c r="A462" s="129">
        <f>IF(F462&lt;&gt;"",1+MAX($A$7:A461),"")</f>
        <v>173</v>
      </c>
      <c r="B462" s="140" t="s">
        <v>105</v>
      </c>
      <c r="C462" s="140" t="s">
        <v>147</v>
      </c>
      <c r="D462" s="149"/>
      <c r="E462" s="163" t="s">
        <v>149</v>
      </c>
      <c r="F462" s="149">
        <f>34.4*11</f>
        <v>378.4</v>
      </c>
      <c r="G462" s="124">
        <v>0.1</v>
      </c>
      <c r="H462" s="143">
        <f>F462*(1+G462)</f>
        <v>416.24</v>
      </c>
      <c r="I462" s="145" t="s">
        <v>18</v>
      </c>
      <c r="J462" s="37">
        <f>J$442</f>
        <v>0</v>
      </c>
      <c r="K462" s="159">
        <f>J462*H462</f>
        <v>0</v>
      </c>
      <c r="L462" s="160"/>
    </row>
    <row r="463" spans="1:12" s="21" customFormat="1" x14ac:dyDescent="0.2">
      <c r="A463" s="129" t="str">
        <f>IF(F463&lt;&gt;"",1+MAX($A$7:A462),"")</f>
        <v/>
      </c>
      <c r="B463" s="140"/>
      <c r="C463" s="140"/>
      <c r="D463" s="141"/>
      <c r="E463" s="163"/>
      <c r="F463" s="149"/>
      <c r="G463" s="124"/>
      <c r="H463" s="143"/>
      <c r="I463" s="145"/>
      <c r="J463" s="37"/>
      <c r="K463" s="159"/>
      <c r="L463" s="160"/>
    </row>
    <row r="464" spans="1:12" s="21" customFormat="1" x14ac:dyDescent="0.2">
      <c r="A464" s="129" t="str">
        <f>IF(F464&lt;&gt;"",1+MAX($A$7:A463),"")</f>
        <v/>
      </c>
      <c r="B464" s="140"/>
      <c r="C464" s="140"/>
      <c r="D464" s="141"/>
      <c r="E464" s="164" t="s">
        <v>196</v>
      </c>
      <c r="F464" s="149"/>
      <c r="G464" s="144"/>
      <c r="H464" s="143"/>
      <c r="I464" s="145"/>
      <c r="J464" s="37"/>
      <c r="K464" s="159"/>
      <c r="L464" s="160"/>
    </row>
    <row r="465" spans="1:12" s="21" customFormat="1" x14ac:dyDescent="0.2">
      <c r="A465" s="129" t="str">
        <f>IF(F465&lt;&gt;"",1+MAX($A$7:A464),"")</f>
        <v/>
      </c>
      <c r="B465" s="140"/>
      <c r="C465" s="140"/>
      <c r="D465" s="141"/>
      <c r="E465" s="158" t="s">
        <v>103</v>
      </c>
      <c r="F465" s="149"/>
      <c r="G465" s="144"/>
      <c r="H465" s="143"/>
      <c r="I465" s="145"/>
      <c r="J465" s="37"/>
      <c r="K465" s="159"/>
      <c r="L465" s="160"/>
    </row>
    <row r="466" spans="1:12" s="21" customFormat="1" x14ac:dyDescent="0.2">
      <c r="A466" s="129">
        <f>IF(F466&lt;&gt;"",1+MAX($A$7:A465),"")</f>
        <v>174</v>
      </c>
      <c r="B466" s="140" t="s">
        <v>105</v>
      </c>
      <c r="C466" s="140" t="s">
        <v>104</v>
      </c>
      <c r="D466" s="149"/>
      <c r="E466" s="163" t="s">
        <v>100</v>
      </c>
      <c r="F466" s="149">
        <f>95.2*9*2+46.5*9</f>
        <v>2132.1000000000004</v>
      </c>
      <c r="G466" s="124">
        <v>0.1</v>
      </c>
      <c r="H466" s="143">
        <f>F466*(1+G466)</f>
        <v>2345.3100000000004</v>
      </c>
      <c r="I466" s="145" t="s">
        <v>18</v>
      </c>
      <c r="J466" s="37">
        <f>J$143</f>
        <v>0</v>
      </c>
      <c r="K466" s="159">
        <f>J466*H466</f>
        <v>0</v>
      </c>
      <c r="L466" s="160"/>
    </row>
    <row r="467" spans="1:12" s="21" customFormat="1" x14ac:dyDescent="0.2">
      <c r="A467" s="129" t="str">
        <f>IF(F467&lt;&gt;"",1+MAX($A$7:A466),"")</f>
        <v/>
      </c>
      <c r="B467" s="140"/>
      <c r="C467" s="140"/>
      <c r="D467" s="141"/>
      <c r="E467" s="165" t="s">
        <v>41</v>
      </c>
      <c r="F467" s="166"/>
      <c r="G467" s="167"/>
      <c r="H467" s="143">
        <f>ROUNDUP((H466)/32,0)</f>
        <v>74</v>
      </c>
      <c r="I467" s="145" t="s">
        <v>42</v>
      </c>
      <c r="J467" s="37"/>
      <c r="K467" s="159"/>
      <c r="L467" s="160"/>
    </row>
    <row r="468" spans="1:12" s="21" customFormat="1" x14ac:dyDescent="0.2">
      <c r="A468" s="129" t="str">
        <f>IF(F468&lt;&gt;"",1+MAX($A$7:A467),"")</f>
        <v/>
      </c>
      <c r="B468" s="140"/>
      <c r="C468" s="140"/>
      <c r="D468" s="141"/>
      <c r="E468" s="165" t="s">
        <v>43</v>
      </c>
      <c r="F468" s="166"/>
      <c r="G468" s="167"/>
      <c r="H468" s="143">
        <f>ROUNDUP(H467*24/500,0)</f>
        <v>4</v>
      </c>
      <c r="I468" s="145" t="s">
        <v>44</v>
      </c>
      <c r="J468" s="37"/>
      <c r="K468" s="159"/>
      <c r="L468" s="160"/>
    </row>
    <row r="469" spans="1:12" s="21" customFormat="1" x14ac:dyDescent="0.2">
      <c r="A469" s="129" t="str">
        <f>IF(F469&lt;&gt;"",1+MAX($A$7:A468),"")</f>
        <v/>
      </c>
      <c r="B469" s="140"/>
      <c r="C469" s="140"/>
      <c r="D469" s="141"/>
      <c r="E469" s="165" t="s">
        <v>45</v>
      </c>
      <c r="F469" s="166"/>
      <c r="G469" s="167"/>
      <c r="H469" s="168">
        <f>ROUNDUP((H466)/200,0)</f>
        <v>12</v>
      </c>
      <c r="I469" s="145" t="s">
        <v>46</v>
      </c>
      <c r="J469" s="37"/>
      <c r="K469" s="159"/>
      <c r="L469" s="160"/>
    </row>
    <row r="470" spans="1:12" s="21" customFormat="1" x14ac:dyDescent="0.2">
      <c r="A470" s="129" t="str">
        <f>IF(F470&lt;&gt;"",1+MAX($A$7:A469),"")</f>
        <v/>
      </c>
      <c r="B470" s="140"/>
      <c r="C470" s="140"/>
      <c r="D470" s="141"/>
      <c r="E470" s="165" t="s">
        <v>47</v>
      </c>
      <c r="F470" s="166"/>
      <c r="G470" s="167"/>
      <c r="H470" s="168">
        <f>ROUNDUP((H466)*5.25/1000,0)</f>
        <v>13</v>
      </c>
      <c r="I470" s="145" t="s">
        <v>48</v>
      </c>
      <c r="J470" s="37"/>
      <c r="K470" s="159"/>
      <c r="L470" s="160"/>
    </row>
    <row r="471" spans="1:12" s="21" customFormat="1" x14ac:dyDescent="0.2">
      <c r="A471" s="129">
        <f>IF(F471&lt;&gt;"",1+MAX($A$7:A470),"")</f>
        <v>175</v>
      </c>
      <c r="B471" s="140" t="s">
        <v>105</v>
      </c>
      <c r="C471" s="140" t="s">
        <v>104</v>
      </c>
      <c r="D471" s="149"/>
      <c r="E471" s="163" t="s">
        <v>101</v>
      </c>
      <c r="F471" s="149">
        <f>46.5*9</f>
        <v>418.5</v>
      </c>
      <c r="G471" s="124">
        <v>0.1</v>
      </c>
      <c r="H471" s="143">
        <f>F471*(1+G471)</f>
        <v>460.35</v>
      </c>
      <c r="I471" s="145" t="s">
        <v>18</v>
      </c>
      <c r="J471" s="37">
        <f>J$160</f>
        <v>0</v>
      </c>
      <c r="K471" s="159">
        <f>J471*H471</f>
        <v>0</v>
      </c>
      <c r="L471" s="160"/>
    </row>
    <row r="472" spans="1:12" s="21" customFormat="1" x14ac:dyDescent="0.2">
      <c r="A472" s="129" t="str">
        <f>IF(F472&lt;&gt;"",1+MAX($A$7:A471),"")</f>
        <v/>
      </c>
      <c r="B472" s="140"/>
      <c r="C472" s="140"/>
      <c r="D472" s="141"/>
      <c r="E472" s="165" t="s">
        <v>41</v>
      </c>
      <c r="F472" s="166"/>
      <c r="G472" s="167"/>
      <c r="H472" s="143">
        <f>ROUNDUP((H471)/32,0)</f>
        <v>15</v>
      </c>
      <c r="I472" s="145" t="s">
        <v>42</v>
      </c>
      <c r="J472" s="37"/>
      <c r="K472" s="159"/>
      <c r="L472" s="160"/>
    </row>
    <row r="473" spans="1:12" s="21" customFormat="1" x14ac:dyDescent="0.2">
      <c r="A473" s="129" t="str">
        <f>IF(F473&lt;&gt;"",1+MAX($A$7:A472),"")</f>
        <v/>
      </c>
      <c r="B473" s="140"/>
      <c r="C473" s="140"/>
      <c r="D473" s="141"/>
      <c r="E473" s="165" t="s">
        <v>43</v>
      </c>
      <c r="F473" s="166"/>
      <c r="G473" s="167"/>
      <c r="H473" s="143">
        <f>ROUNDUP(H472*24/500,0)</f>
        <v>1</v>
      </c>
      <c r="I473" s="145" t="s">
        <v>44</v>
      </c>
      <c r="J473" s="37"/>
      <c r="K473" s="159"/>
      <c r="L473" s="160"/>
    </row>
    <row r="474" spans="1:12" s="21" customFormat="1" x14ac:dyDescent="0.2">
      <c r="A474" s="129" t="str">
        <f>IF(F474&lt;&gt;"",1+MAX($A$7:A473),"")</f>
        <v/>
      </c>
      <c r="B474" s="140"/>
      <c r="C474" s="140"/>
      <c r="D474" s="141"/>
      <c r="E474" s="165" t="s">
        <v>45</v>
      </c>
      <c r="F474" s="166"/>
      <c r="G474" s="167"/>
      <c r="H474" s="168">
        <f>ROUNDUP((H471)/200,0)</f>
        <v>3</v>
      </c>
      <c r="I474" s="145" t="s">
        <v>46</v>
      </c>
      <c r="J474" s="37"/>
      <c r="K474" s="159"/>
      <c r="L474" s="160"/>
    </row>
    <row r="475" spans="1:12" s="21" customFormat="1" x14ac:dyDescent="0.2">
      <c r="A475" s="129" t="str">
        <f>IF(F475&lt;&gt;"",1+MAX($A$7:A474),"")</f>
        <v/>
      </c>
      <c r="B475" s="140"/>
      <c r="C475" s="140"/>
      <c r="D475" s="141"/>
      <c r="E475" s="165" t="s">
        <v>47</v>
      </c>
      <c r="F475" s="166"/>
      <c r="G475" s="167"/>
      <c r="H475" s="168">
        <f>ROUNDUP((H471)*5.25/1000,0)</f>
        <v>3</v>
      </c>
      <c r="I475" s="145" t="s">
        <v>48</v>
      </c>
      <c r="J475" s="37"/>
      <c r="K475" s="159"/>
      <c r="L475" s="160"/>
    </row>
    <row r="476" spans="1:12" s="21" customFormat="1" x14ac:dyDescent="0.2">
      <c r="A476" s="129">
        <f>IF(F476&lt;&gt;"",1+MAX($A$7:A475),"")</f>
        <v>176</v>
      </c>
      <c r="B476" s="140" t="s">
        <v>105</v>
      </c>
      <c r="C476" s="140" t="s">
        <v>104</v>
      </c>
      <c r="D476" s="141"/>
      <c r="E476" s="163" t="s">
        <v>102</v>
      </c>
      <c r="F476" s="149">
        <f>141.7*4</f>
        <v>566.79999999999995</v>
      </c>
      <c r="G476" s="124">
        <v>0.1</v>
      </c>
      <c r="H476" s="143">
        <f>F476*(1+G476)</f>
        <v>623.48</v>
      </c>
      <c r="I476" s="145" t="s">
        <v>15</v>
      </c>
      <c r="J476" s="37">
        <f>J$148</f>
        <v>0</v>
      </c>
      <c r="K476" s="159">
        <f>J476*H476</f>
        <v>0</v>
      </c>
      <c r="L476" s="160"/>
    </row>
    <row r="477" spans="1:12" s="21" customFormat="1" x14ac:dyDescent="0.2">
      <c r="A477" s="129" t="str">
        <f>IF(F477&lt;&gt;"",1+MAX($A$7:A476),"")</f>
        <v/>
      </c>
      <c r="B477" s="140"/>
      <c r="C477" s="140"/>
      <c r="D477" s="141"/>
      <c r="E477" s="163"/>
      <c r="F477" s="149"/>
      <c r="G477" s="124"/>
      <c r="H477" s="143"/>
      <c r="I477" s="145"/>
      <c r="J477" s="37"/>
      <c r="K477" s="159"/>
      <c r="L477" s="160"/>
    </row>
    <row r="478" spans="1:12" s="21" customFormat="1" x14ac:dyDescent="0.2">
      <c r="A478" s="129" t="str">
        <f>IF(F478&lt;&gt;"",1+MAX($A$7:A477),"")</f>
        <v/>
      </c>
      <c r="B478" s="140"/>
      <c r="C478" s="140"/>
      <c r="D478" s="141"/>
      <c r="E478" s="158" t="s">
        <v>106</v>
      </c>
      <c r="F478" s="149"/>
      <c r="G478" s="144"/>
      <c r="H478" s="143"/>
      <c r="I478" s="145"/>
      <c r="J478" s="37"/>
      <c r="K478" s="159"/>
      <c r="L478" s="160"/>
    </row>
    <row r="479" spans="1:12" s="21" customFormat="1" x14ac:dyDescent="0.2">
      <c r="A479" s="129">
        <f>IF(F479&lt;&gt;"",1+MAX($A$7:A478),"")</f>
        <v>177</v>
      </c>
      <c r="B479" s="140" t="s">
        <v>105</v>
      </c>
      <c r="C479" s="140" t="s">
        <v>104</v>
      </c>
      <c r="D479" s="149"/>
      <c r="E479" s="163" t="s">
        <v>100</v>
      </c>
      <c r="F479" s="149">
        <f>1303.3*9*2+345.6*9+17.4*3.5*2</f>
        <v>26691.599999999999</v>
      </c>
      <c r="G479" s="124">
        <v>0.1</v>
      </c>
      <c r="H479" s="143">
        <f>F479*(1+G479)</f>
        <v>29360.760000000002</v>
      </c>
      <c r="I479" s="145" t="s">
        <v>18</v>
      </c>
      <c r="J479" s="37">
        <f>J$143</f>
        <v>0</v>
      </c>
      <c r="K479" s="159">
        <f>J479*H479</f>
        <v>0</v>
      </c>
      <c r="L479" s="160"/>
    </row>
    <row r="480" spans="1:12" s="21" customFormat="1" x14ac:dyDescent="0.2">
      <c r="A480" s="129" t="str">
        <f>IF(F480&lt;&gt;"",1+MAX($A$7:A479),"")</f>
        <v/>
      </c>
      <c r="B480" s="140"/>
      <c r="C480" s="140"/>
      <c r="D480" s="141"/>
      <c r="E480" s="165" t="s">
        <v>41</v>
      </c>
      <c r="F480" s="166"/>
      <c r="G480" s="167"/>
      <c r="H480" s="143">
        <f>ROUNDUP((H479)/32,0)</f>
        <v>918</v>
      </c>
      <c r="I480" s="145" t="s">
        <v>42</v>
      </c>
      <c r="J480" s="37"/>
      <c r="K480" s="159"/>
      <c r="L480" s="160"/>
    </row>
    <row r="481" spans="1:12" s="21" customFormat="1" x14ac:dyDescent="0.2">
      <c r="A481" s="129" t="str">
        <f>IF(F481&lt;&gt;"",1+MAX($A$7:A480),"")</f>
        <v/>
      </c>
      <c r="B481" s="140"/>
      <c r="C481" s="140"/>
      <c r="D481" s="141"/>
      <c r="E481" s="165" t="s">
        <v>43</v>
      </c>
      <c r="F481" s="166"/>
      <c r="G481" s="167"/>
      <c r="H481" s="143">
        <f>ROUNDUP(H480*24/500,0)</f>
        <v>45</v>
      </c>
      <c r="I481" s="145" t="s">
        <v>44</v>
      </c>
      <c r="J481" s="37"/>
      <c r="K481" s="159"/>
      <c r="L481" s="160"/>
    </row>
    <row r="482" spans="1:12" s="21" customFormat="1" x14ac:dyDescent="0.2">
      <c r="A482" s="129" t="str">
        <f>IF(F482&lt;&gt;"",1+MAX($A$7:A481),"")</f>
        <v/>
      </c>
      <c r="B482" s="140"/>
      <c r="C482" s="140"/>
      <c r="D482" s="141"/>
      <c r="E482" s="165" t="s">
        <v>45</v>
      </c>
      <c r="F482" s="166"/>
      <c r="G482" s="167"/>
      <c r="H482" s="168">
        <f>ROUNDUP((H479)/200,0)</f>
        <v>147</v>
      </c>
      <c r="I482" s="145" t="s">
        <v>46</v>
      </c>
      <c r="J482" s="37"/>
      <c r="K482" s="159"/>
      <c r="L482" s="160"/>
    </row>
    <row r="483" spans="1:12" s="21" customFormat="1" x14ac:dyDescent="0.2">
      <c r="A483" s="129" t="str">
        <f>IF(F483&lt;&gt;"",1+MAX($A$7:A482),"")</f>
        <v/>
      </c>
      <c r="B483" s="140"/>
      <c r="C483" s="140"/>
      <c r="D483" s="141"/>
      <c r="E483" s="165" t="s">
        <v>47</v>
      </c>
      <c r="F483" s="166"/>
      <c r="G483" s="167"/>
      <c r="H483" s="168">
        <f>ROUNDUP((H479)*5.25/1000,0)</f>
        <v>155</v>
      </c>
      <c r="I483" s="145" t="s">
        <v>48</v>
      </c>
      <c r="J483" s="37"/>
      <c r="K483" s="159"/>
      <c r="L483" s="160"/>
    </row>
    <row r="484" spans="1:12" s="21" customFormat="1" x14ac:dyDescent="0.2">
      <c r="A484" s="129">
        <f>IF(F484&lt;&gt;"",1+MAX($A$7:A483),"")</f>
        <v>178</v>
      </c>
      <c r="B484" s="140" t="s">
        <v>105</v>
      </c>
      <c r="C484" s="140" t="s">
        <v>104</v>
      </c>
      <c r="D484" s="149"/>
      <c r="E484" s="163" t="s">
        <v>101</v>
      </c>
      <c r="F484" s="149">
        <f>345.6*9</f>
        <v>3110.4</v>
      </c>
      <c r="G484" s="124">
        <v>0.1</v>
      </c>
      <c r="H484" s="143">
        <f>F484*(1+G484)</f>
        <v>3421.4400000000005</v>
      </c>
      <c r="I484" s="145" t="s">
        <v>18</v>
      </c>
      <c r="J484" s="37">
        <f>J$160</f>
        <v>0</v>
      </c>
      <c r="K484" s="159">
        <f>J484*H484</f>
        <v>0</v>
      </c>
      <c r="L484" s="160"/>
    </row>
    <row r="485" spans="1:12" s="21" customFormat="1" x14ac:dyDescent="0.2">
      <c r="A485" s="129" t="str">
        <f>IF(F485&lt;&gt;"",1+MAX($A$7:A484),"")</f>
        <v/>
      </c>
      <c r="B485" s="140"/>
      <c r="C485" s="140"/>
      <c r="D485" s="141"/>
      <c r="E485" s="165" t="s">
        <v>41</v>
      </c>
      <c r="F485" s="166"/>
      <c r="G485" s="167"/>
      <c r="H485" s="143">
        <f>ROUNDUP((H484)/32,0)</f>
        <v>107</v>
      </c>
      <c r="I485" s="145" t="s">
        <v>42</v>
      </c>
      <c r="J485" s="37"/>
      <c r="K485" s="159"/>
      <c r="L485" s="160"/>
    </row>
    <row r="486" spans="1:12" s="21" customFormat="1" x14ac:dyDescent="0.2">
      <c r="A486" s="129" t="str">
        <f>IF(F486&lt;&gt;"",1+MAX($A$7:A485),"")</f>
        <v/>
      </c>
      <c r="B486" s="140"/>
      <c r="C486" s="140"/>
      <c r="D486" s="141"/>
      <c r="E486" s="165" t="s">
        <v>43</v>
      </c>
      <c r="F486" s="166"/>
      <c r="G486" s="167"/>
      <c r="H486" s="143">
        <f>ROUNDUP(H485*24/500,0)</f>
        <v>6</v>
      </c>
      <c r="I486" s="145" t="s">
        <v>44</v>
      </c>
      <c r="J486" s="37"/>
      <c r="K486" s="159"/>
      <c r="L486" s="160"/>
    </row>
    <row r="487" spans="1:12" s="21" customFormat="1" x14ac:dyDescent="0.2">
      <c r="A487" s="129" t="str">
        <f>IF(F487&lt;&gt;"",1+MAX($A$7:A486),"")</f>
        <v/>
      </c>
      <c r="B487" s="140"/>
      <c r="C487" s="140"/>
      <c r="D487" s="141"/>
      <c r="E487" s="165" t="s">
        <v>45</v>
      </c>
      <c r="F487" s="166"/>
      <c r="G487" s="167"/>
      <c r="H487" s="168">
        <f>ROUNDUP((H484)/200,0)</f>
        <v>18</v>
      </c>
      <c r="I487" s="145" t="s">
        <v>46</v>
      </c>
      <c r="J487" s="37"/>
      <c r="K487" s="159"/>
      <c r="L487" s="160"/>
    </row>
    <row r="488" spans="1:12" s="21" customFormat="1" x14ac:dyDescent="0.2">
      <c r="A488" s="129" t="str">
        <f>IF(F488&lt;&gt;"",1+MAX($A$7:A487),"")</f>
        <v/>
      </c>
      <c r="B488" s="140"/>
      <c r="C488" s="140"/>
      <c r="D488" s="141"/>
      <c r="E488" s="165" t="s">
        <v>47</v>
      </c>
      <c r="F488" s="166"/>
      <c r="G488" s="167"/>
      <c r="H488" s="168">
        <f>ROUNDUP((H484)*5.25/1000,0)</f>
        <v>18</v>
      </c>
      <c r="I488" s="145" t="s">
        <v>48</v>
      </c>
      <c r="J488" s="37"/>
      <c r="K488" s="159"/>
      <c r="L488" s="160"/>
    </row>
    <row r="489" spans="1:12" s="21" customFormat="1" x14ac:dyDescent="0.2">
      <c r="A489" s="129">
        <f>IF(F489&lt;&gt;"",1+MAX($A$7:A488),"")</f>
        <v>179</v>
      </c>
      <c r="B489" s="140" t="s">
        <v>105</v>
      </c>
      <c r="C489" s="140" t="s">
        <v>104</v>
      </c>
      <c r="D489" s="141"/>
      <c r="E489" s="163" t="s">
        <v>102</v>
      </c>
      <c r="F489" s="149">
        <f>1648.9*4+17.4*4</f>
        <v>6665.2000000000007</v>
      </c>
      <c r="G489" s="124">
        <v>0.1</v>
      </c>
      <c r="H489" s="143">
        <f>F489*(1+G489)</f>
        <v>7331.7200000000012</v>
      </c>
      <c r="I489" s="145" t="s">
        <v>15</v>
      </c>
      <c r="J489" s="37">
        <f>J$148</f>
        <v>0</v>
      </c>
      <c r="K489" s="159">
        <f>J489*H489</f>
        <v>0</v>
      </c>
      <c r="L489" s="160"/>
    </row>
    <row r="490" spans="1:12" s="21" customFormat="1" x14ac:dyDescent="0.2">
      <c r="A490" s="129" t="str">
        <f>IF(F490&lt;&gt;"",1+MAX($A$7:A489),"")</f>
        <v/>
      </c>
      <c r="B490" s="140"/>
      <c r="C490" s="140"/>
      <c r="D490" s="141"/>
      <c r="E490" s="163"/>
      <c r="F490" s="149"/>
      <c r="G490" s="124"/>
      <c r="H490" s="143"/>
      <c r="I490" s="145"/>
      <c r="J490" s="37"/>
      <c r="K490" s="159"/>
      <c r="L490" s="160"/>
    </row>
    <row r="491" spans="1:12" s="21" customFormat="1" x14ac:dyDescent="0.2">
      <c r="A491" s="129" t="str">
        <f>IF(F491&lt;&gt;"",1+MAX($A$7:A490),"")</f>
        <v/>
      </c>
      <c r="B491" s="140"/>
      <c r="C491" s="140"/>
      <c r="D491" s="141"/>
      <c r="E491" s="158" t="s">
        <v>107</v>
      </c>
      <c r="F491" s="149"/>
      <c r="G491" s="144"/>
      <c r="H491" s="143"/>
      <c r="I491" s="145"/>
      <c r="J491" s="37"/>
      <c r="K491" s="159"/>
      <c r="L491" s="160"/>
    </row>
    <row r="492" spans="1:12" s="21" customFormat="1" x14ac:dyDescent="0.2">
      <c r="A492" s="129">
        <f>IF(F492&lt;&gt;"",1+MAX($A$7:A491),"")</f>
        <v>180</v>
      </c>
      <c r="B492" s="140" t="s">
        <v>105</v>
      </c>
      <c r="C492" s="140" t="s">
        <v>104</v>
      </c>
      <c r="D492" s="149"/>
      <c r="E492" s="163" t="s">
        <v>100</v>
      </c>
      <c r="F492" s="149">
        <f>8.2*9</f>
        <v>73.8</v>
      </c>
      <c r="G492" s="124">
        <v>0.1</v>
      </c>
      <c r="H492" s="143">
        <f>F492*(1+G492)</f>
        <v>81.180000000000007</v>
      </c>
      <c r="I492" s="145" t="s">
        <v>18</v>
      </c>
      <c r="J492" s="37">
        <f>J$143</f>
        <v>0</v>
      </c>
      <c r="K492" s="159">
        <f>J492*H492</f>
        <v>0</v>
      </c>
      <c r="L492" s="160"/>
    </row>
    <row r="493" spans="1:12" s="21" customFormat="1" x14ac:dyDescent="0.2">
      <c r="A493" s="129" t="str">
        <f>IF(F493&lt;&gt;"",1+MAX($A$7:A492),"")</f>
        <v/>
      </c>
      <c r="B493" s="140"/>
      <c r="C493" s="140"/>
      <c r="D493" s="141"/>
      <c r="E493" s="165" t="s">
        <v>41</v>
      </c>
      <c r="F493" s="166"/>
      <c r="G493" s="167"/>
      <c r="H493" s="143">
        <f>ROUNDUP((H492)/32,0)</f>
        <v>3</v>
      </c>
      <c r="I493" s="145" t="s">
        <v>42</v>
      </c>
      <c r="J493" s="37"/>
      <c r="K493" s="159"/>
      <c r="L493" s="160"/>
    </row>
    <row r="494" spans="1:12" s="21" customFormat="1" x14ac:dyDescent="0.2">
      <c r="A494" s="129" t="str">
        <f>IF(F494&lt;&gt;"",1+MAX($A$7:A493),"")</f>
        <v/>
      </c>
      <c r="B494" s="140"/>
      <c r="C494" s="140"/>
      <c r="D494" s="141"/>
      <c r="E494" s="165" t="s">
        <v>43</v>
      </c>
      <c r="F494" s="166"/>
      <c r="G494" s="167"/>
      <c r="H494" s="143">
        <f>ROUNDUP(H493*24/500,0)</f>
        <v>1</v>
      </c>
      <c r="I494" s="145" t="s">
        <v>44</v>
      </c>
      <c r="J494" s="37"/>
      <c r="K494" s="159"/>
      <c r="L494" s="160"/>
    </row>
    <row r="495" spans="1:12" s="21" customFormat="1" x14ac:dyDescent="0.2">
      <c r="A495" s="129" t="str">
        <f>IF(F495&lt;&gt;"",1+MAX($A$7:A494),"")</f>
        <v/>
      </c>
      <c r="B495" s="140"/>
      <c r="C495" s="140"/>
      <c r="D495" s="141"/>
      <c r="E495" s="165" t="s">
        <v>45</v>
      </c>
      <c r="F495" s="166"/>
      <c r="G495" s="167"/>
      <c r="H495" s="168">
        <f>ROUNDUP((H492)/200,0)</f>
        <v>1</v>
      </c>
      <c r="I495" s="145" t="s">
        <v>46</v>
      </c>
      <c r="J495" s="37"/>
      <c r="K495" s="159"/>
      <c r="L495" s="160"/>
    </row>
    <row r="496" spans="1:12" s="21" customFormat="1" x14ac:dyDescent="0.2">
      <c r="A496" s="129" t="str">
        <f>IF(F496&lt;&gt;"",1+MAX($A$7:A495),"")</f>
        <v/>
      </c>
      <c r="B496" s="140"/>
      <c r="C496" s="140"/>
      <c r="D496" s="141"/>
      <c r="E496" s="165" t="s">
        <v>47</v>
      </c>
      <c r="F496" s="166"/>
      <c r="G496" s="167"/>
      <c r="H496" s="168">
        <f>ROUNDUP((H492)*5.25/1000,0)</f>
        <v>1</v>
      </c>
      <c r="I496" s="145" t="s">
        <v>48</v>
      </c>
      <c r="J496" s="37"/>
      <c r="K496" s="159"/>
      <c r="L496" s="160"/>
    </row>
    <row r="497" spans="1:12" s="21" customFormat="1" x14ac:dyDescent="0.2">
      <c r="A497" s="129">
        <f>IF(F497&lt;&gt;"",1+MAX($A$7:A496),"")</f>
        <v>181</v>
      </c>
      <c r="B497" s="140" t="s">
        <v>105</v>
      </c>
      <c r="C497" s="140" t="s">
        <v>104</v>
      </c>
      <c r="D497" s="149"/>
      <c r="E497" s="163" t="s">
        <v>101</v>
      </c>
      <c r="F497" s="149">
        <f>8.2*9</f>
        <v>73.8</v>
      </c>
      <c r="G497" s="124">
        <v>0.1</v>
      </c>
      <c r="H497" s="143">
        <f>F497*(1+G497)</f>
        <v>81.180000000000007</v>
      </c>
      <c r="I497" s="145" t="s">
        <v>18</v>
      </c>
      <c r="J497" s="37">
        <f>J$160</f>
        <v>0</v>
      </c>
      <c r="K497" s="159">
        <f>J497*H497</f>
        <v>0</v>
      </c>
      <c r="L497" s="160"/>
    </row>
    <row r="498" spans="1:12" s="21" customFormat="1" x14ac:dyDescent="0.2">
      <c r="A498" s="129" t="str">
        <f>IF(F498&lt;&gt;"",1+MAX($A$7:A497),"")</f>
        <v/>
      </c>
      <c r="B498" s="140"/>
      <c r="C498" s="140"/>
      <c r="D498" s="141"/>
      <c r="E498" s="165" t="s">
        <v>41</v>
      </c>
      <c r="F498" s="166"/>
      <c r="G498" s="167"/>
      <c r="H498" s="143">
        <f>ROUNDUP((H497)/32,0)</f>
        <v>3</v>
      </c>
      <c r="I498" s="145" t="s">
        <v>42</v>
      </c>
      <c r="J498" s="37"/>
      <c r="K498" s="159"/>
      <c r="L498" s="160"/>
    </row>
    <row r="499" spans="1:12" s="21" customFormat="1" x14ac:dyDescent="0.2">
      <c r="A499" s="129" t="str">
        <f>IF(F499&lt;&gt;"",1+MAX($A$7:A498),"")</f>
        <v/>
      </c>
      <c r="B499" s="140"/>
      <c r="C499" s="140"/>
      <c r="D499" s="141"/>
      <c r="E499" s="165" t="s">
        <v>43</v>
      </c>
      <c r="F499" s="166"/>
      <c r="G499" s="167"/>
      <c r="H499" s="143">
        <f>ROUNDUP(H498*24/500,0)</f>
        <v>1</v>
      </c>
      <c r="I499" s="145" t="s">
        <v>44</v>
      </c>
      <c r="J499" s="37"/>
      <c r="K499" s="159"/>
      <c r="L499" s="160"/>
    </row>
    <row r="500" spans="1:12" s="21" customFormat="1" x14ac:dyDescent="0.2">
      <c r="A500" s="129" t="str">
        <f>IF(F500&lt;&gt;"",1+MAX($A$7:A499),"")</f>
        <v/>
      </c>
      <c r="B500" s="140"/>
      <c r="C500" s="140"/>
      <c r="D500" s="141"/>
      <c r="E500" s="165" t="s">
        <v>45</v>
      </c>
      <c r="F500" s="166"/>
      <c r="G500" s="167"/>
      <c r="H500" s="168">
        <f>ROUNDUP((H497)/200,0)</f>
        <v>1</v>
      </c>
      <c r="I500" s="145" t="s">
        <v>46</v>
      </c>
      <c r="J500" s="37"/>
      <c r="K500" s="159"/>
      <c r="L500" s="160"/>
    </row>
    <row r="501" spans="1:12" s="21" customFormat="1" x14ac:dyDescent="0.2">
      <c r="A501" s="129" t="str">
        <f>IF(F501&lt;&gt;"",1+MAX($A$7:A500),"")</f>
        <v/>
      </c>
      <c r="B501" s="140"/>
      <c r="C501" s="140"/>
      <c r="D501" s="141"/>
      <c r="E501" s="165" t="s">
        <v>47</v>
      </c>
      <c r="F501" s="166"/>
      <c r="G501" s="167"/>
      <c r="H501" s="168">
        <f>ROUNDUP((H497)*5.25/1000,0)</f>
        <v>1</v>
      </c>
      <c r="I501" s="145" t="s">
        <v>48</v>
      </c>
      <c r="J501" s="37"/>
      <c r="K501" s="159"/>
      <c r="L501" s="160"/>
    </row>
    <row r="502" spans="1:12" s="21" customFormat="1" x14ac:dyDescent="0.2">
      <c r="A502" s="129">
        <f>IF(F502&lt;&gt;"",1+MAX($A$7:A501),"")</f>
        <v>182</v>
      </c>
      <c r="B502" s="140" t="s">
        <v>105</v>
      </c>
      <c r="C502" s="140" t="s">
        <v>104</v>
      </c>
      <c r="D502" s="141"/>
      <c r="E502" s="163" t="s">
        <v>102</v>
      </c>
      <c r="F502" s="149">
        <f>8.2*4</f>
        <v>32.799999999999997</v>
      </c>
      <c r="G502" s="124">
        <v>0.1</v>
      </c>
      <c r="H502" s="143">
        <f>F502*(1+G502)</f>
        <v>36.08</v>
      </c>
      <c r="I502" s="145" t="s">
        <v>15</v>
      </c>
      <c r="J502" s="37">
        <f>J$148</f>
        <v>0</v>
      </c>
      <c r="K502" s="159">
        <f>J502*H502</f>
        <v>0</v>
      </c>
      <c r="L502" s="160"/>
    </row>
    <row r="503" spans="1:12" s="21" customFormat="1" x14ac:dyDescent="0.2">
      <c r="A503" s="129" t="str">
        <f>IF(F503&lt;&gt;"",1+MAX($A$7:A502),"")</f>
        <v/>
      </c>
      <c r="B503" s="140"/>
      <c r="C503" s="140"/>
      <c r="D503" s="141"/>
      <c r="E503" s="163"/>
      <c r="F503" s="149"/>
      <c r="G503" s="124"/>
      <c r="H503" s="143"/>
      <c r="I503" s="145"/>
      <c r="J503" s="37"/>
      <c r="K503" s="159"/>
      <c r="L503" s="160"/>
    </row>
    <row r="504" spans="1:12" s="21" customFormat="1" x14ac:dyDescent="0.2">
      <c r="A504" s="129" t="str">
        <f>IF(F504&lt;&gt;"",1+MAX($A$7:A503),"")</f>
        <v/>
      </c>
      <c r="B504" s="140"/>
      <c r="C504" s="140"/>
      <c r="D504" s="141"/>
      <c r="E504" s="158" t="s">
        <v>108</v>
      </c>
      <c r="F504" s="149"/>
      <c r="G504" s="144"/>
      <c r="H504" s="143"/>
      <c r="I504" s="145"/>
      <c r="J504" s="37"/>
      <c r="K504" s="159"/>
      <c r="L504" s="160"/>
    </row>
    <row r="505" spans="1:12" s="21" customFormat="1" ht="31.5" x14ac:dyDescent="0.2">
      <c r="A505" s="129">
        <f>IF(F505&lt;&gt;"",1+MAX($A$7:A504),"")</f>
        <v>183</v>
      </c>
      <c r="B505" s="140" t="s">
        <v>105</v>
      </c>
      <c r="C505" s="140" t="s">
        <v>104</v>
      </c>
      <c r="D505" s="149"/>
      <c r="E505" s="163" t="s">
        <v>65</v>
      </c>
      <c r="F505" s="149">
        <f>7.2*9*2*2</f>
        <v>259.2</v>
      </c>
      <c r="G505" s="124">
        <v>0.1</v>
      </c>
      <c r="H505" s="143">
        <f>F505*(1+G505)</f>
        <v>285.12</v>
      </c>
      <c r="I505" s="145" t="s">
        <v>18</v>
      </c>
      <c r="J505" s="37">
        <f>J$143</f>
        <v>0</v>
      </c>
      <c r="K505" s="159">
        <f>J505*H505</f>
        <v>0</v>
      </c>
      <c r="L505" s="160"/>
    </row>
    <row r="506" spans="1:12" s="21" customFormat="1" x14ac:dyDescent="0.2">
      <c r="A506" s="129" t="str">
        <f>IF(F506&lt;&gt;"",1+MAX($A$7:A505),"")</f>
        <v/>
      </c>
      <c r="B506" s="140"/>
      <c r="C506" s="140"/>
      <c r="D506" s="141"/>
      <c r="E506" s="165" t="s">
        <v>41</v>
      </c>
      <c r="F506" s="166"/>
      <c r="G506" s="167"/>
      <c r="H506" s="143">
        <f>ROUNDUP((H505)/32,0)</f>
        <v>9</v>
      </c>
      <c r="I506" s="145" t="s">
        <v>42</v>
      </c>
      <c r="J506" s="37"/>
      <c r="K506" s="159"/>
      <c r="L506" s="160"/>
    </row>
    <row r="507" spans="1:12" s="21" customFormat="1" x14ac:dyDescent="0.2">
      <c r="A507" s="129" t="str">
        <f>IF(F507&lt;&gt;"",1+MAX($A$7:A506),"")</f>
        <v/>
      </c>
      <c r="B507" s="140"/>
      <c r="C507" s="140"/>
      <c r="D507" s="141"/>
      <c r="E507" s="165" t="s">
        <v>43</v>
      </c>
      <c r="F507" s="166"/>
      <c r="G507" s="167"/>
      <c r="H507" s="143">
        <f>ROUNDUP(H506*24/500,0)</f>
        <v>1</v>
      </c>
      <c r="I507" s="145" t="s">
        <v>44</v>
      </c>
      <c r="J507" s="37"/>
      <c r="K507" s="159"/>
      <c r="L507" s="160"/>
    </row>
    <row r="508" spans="1:12" s="21" customFormat="1" x14ac:dyDescent="0.2">
      <c r="A508" s="129" t="str">
        <f>IF(F508&lt;&gt;"",1+MAX($A$7:A507),"")</f>
        <v/>
      </c>
      <c r="B508" s="140"/>
      <c r="C508" s="140"/>
      <c r="D508" s="141"/>
      <c r="E508" s="165" t="s">
        <v>45</v>
      </c>
      <c r="F508" s="166"/>
      <c r="G508" s="167"/>
      <c r="H508" s="168">
        <f>ROUNDUP((H505)/200,0)</f>
        <v>2</v>
      </c>
      <c r="I508" s="145" t="s">
        <v>46</v>
      </c>
      <c r="J508" s="37"/>
      <c r="K508" s="159"/>
      <c r="L508" s="160"/>
    </row>
    <row r="509" spans="1:12" s="21" customFormat="1" x14ac:dyDescent="0.2">
      <c r="A509" s="129" t="str">
        <f>IF(F509&lt;&gt;"",1+MAX($A$7:A508),"")</f>
        <v/>
      </c>
      <c r="B509" s="140"/>
      <c r="C509" s="140"/>
      <c r="D509" s="141"/>
      <c r="E509" s="165" t="s">
        <v>47</v>
      </c>
      <c r="F509" s="166"/>
      <c r="G509" s="167"/>
      <c r="H509" s="168">
        <f>ROUNDUP((H505)*5.25/1000,0)</f>
        <v>2</v>
      </c>
      <c r="I509" s="145" t="s">
        <v>48</v>
      </c>
      <c r="J509" s="37"/>
      <c r="K509" s="159"/>
      <c r="L509" s="160"/>
    </row>
    <row r="510" spans="1:12" s="21" customFormat="1" x14ac:dyDescent="0.2">
      <c r="A510" s="129">
        <f>IF(F510&lt;&gt;"",1+MAX($A$7:A509),"")</f>
        <v>184</v>
      </c>
      <c r="B510" s="140" t="s">
        <v>105</v>
      </c>
      <c r="C510" s="140" t="s">
        <v>104</v>
      </c>
      <c r="D510" s="141"/>
      <c r="E510" s="163" t="s">
        <v>102</v>
      </c>
      <c r="F510" s="149">
        <f>7.2*4</f>
        <v>28.8</v>
      </c>
      <c r="G510" s="124">
        <v>0.1</v>
      </c>
      <c r="H510" s="143">
        <f>F510*(1+G510)</f>
        <v>31.680000000000003</v>
      </c>
      <c r="I510" s="145" t="s">
        <v>15</v>
      </c>
      <c r="J510" s="37">
        <f>J$148</f>
        <v>0</v>
      </c>
      <c r="K510" s="159">
        <f>J510*H510</f>
        <v>0</v>
      </c>
      <c r="L510" s="160"/>
    </row>
    <row r="511" spans="1:12" s="21" customFormat="1" x14ac:dyDescent="0.2">
      <c r="A511" s="129">
        <f>IF(F511&lt;&gt;"",1+MAX($A$7:A510),"")</f>
        <v>185</v>
      </c>
      <c r="B511" s="140" t="s">
        <v>105</v>
      </c>
      <c r="C511" s="140" t="s">
        <v>104</v>
      </c>
      <c r="D511" s="149"/>
      <c r="E511" s="163" t="s">
        <v>109</v>
      </c>
      <c r="F511" s="149">
        <f>7.2*9</f>
        <v>64.8</v>
      </c>
      <c r="G511" s="124">
        <v>0.1</v>
      </c>
      <c r="H511" s="143">
        <f>F511*(1+G511)</f>
        <v>71.28</v>
      </c>
      <c r="I511" s="145" t="s">
        <v>18</v>
      </c>
      <c r="J511" s="37">
        <f>J$251</f>
        <v>0</v>
      </c>
      <c r="K511" s="159">
        <f>J511*H511</f>
        <v>0</v>
      </c>
      <c r="L511" s="160"/>
    </row>
    <row r="512" spans="1:12" s="21" customFormat="1" x14ac:dyDescent="0.2">
      <c r="A512" s="129" t="str">
        <f>IF(F512&lt;&gt;"",1+MAX($A$7:A511),"")</f>
        <v/>
      </c>
      <c r="B512" s="140"/>
      <c r="C512" s="140"/>
      <c r="D512" s="141"/>
      <c r="E512" s="163"/>
      <c r="F512" s="149"/>
      <c r="G512" s="124"/>
      <c r="H512" s="143"/>
      <c r="I512" s="145"/>
      <c r="J512" s="37"/>
      <c r="K512" s="159"/>
      <c r="L512" s="160"/>
    </row>
    <row r="513" spans="1:12" s="21" customFormat="1" x14ac:dyDescent="0.2">
      <c r="A513" s="129" t="str">
        <f>IF(F513&lt;&gt;"",1+MAX($A$7:A512),"")</f>
        <v/>
      </c>
      <c r="B513" s="140"/>
      <c r="C513" s="140"/>
      <c r="D513" s="141"/>
      <c r="E513" s="158" t="s">
        <v>110</v>
      </c>
      <c r="F513" s="149"/>
      <c r="G513" s="144"/>
      <c r="H513" s="143"/>
      <c r="I513" s="145"/>
      <c r="J513" s="37"/>
      <c r="K513" s="159"/>
      <c r="L513" s="160"/>
    </row>
    <row r="514" spans="1:12" s="21" customFormat="1" ht="31.5" x14ac:dyDescent="0.2">
      <c r="A514" s="129">
        <f>IF(F514&lt;&gt;"",1+MAX($A$7:A513),"")</f>
        <v>186</v>
      </c>
      <c r="B514" s="140" t="s">
        <v>105</v>
      </c>
      <c r="C514" s="140" t="s">
        <v>104</v>
      </c>
      <c r="D514" s="149"/>
      <c r="E514" s="163" t="s">
        <v>65</v>
      </c>
      <c r="F514" s="149">
        <f>51.5*9*2*2</f>
        <v>1854</v>
      </c>
      <c r="G514" s="124">
        <v>0.1</v>
      </c>
      <c r="H514" s="143">
        <f>F514*(1+G514)</f>
        <v>2039.4</v>
      </c>
      <c r="I514" s="145" t="s">
        <v>18</v>
      </c>
      <c r="J514" s="37">
        <f>J$143</f>
        <v>0</v>
      </c>
      <c r="K514" s="159">
        <f>J514*H514</f>
        <v>0</v>
      </c>
      <c r="L514" s="160"/>
    </row>
    <row r="515" spans="1:12" s="21" customFormat="1" x14ac:dyDescent="0.2">
      <c r="A515" s="129" t="str">
        <f>IF(F515&lt;&gt;"",1+MAX($A$7:A514),"")</f>
        <v/>
      </c>
      <c r="B515" s="140"/>
      <c r="C515" s="140"/>
      <c r="D515" s="141"/>
      <c r="E515" s="165" t="s">
        <v>41</v>
      </c>
      <c r="F515" s="166"/>
      <c r="G515" s="167"/>
      <c r="H515" s="143">
        <f>ROUNDUP((H514)/32,0)</f>
        <v>64</v>
      </c>
      <c r="I515" s="145" t="s">
        <v>42</v>
      </c>
      <c r="J515" s="37"/>
      <c r="K515" s="159"/>
      <c r="L515" s="160"/>
    </row>
    <row r="516" spans="1:12" s="21" customFormat="1" x14ac:dyDescent="0.2">
      <c r="A516" s="129" t="str">
        <f>IF(F516&lt;&gt;"",1+MAX($A$7:A515),"")</f>
        <v/>
      </c>
      <c r="B516" s="140"/>
      <c r="C516" s="140"/>
      <c r="D516" s="141"/>
      <c r="E516" s="165" t="s">
        <v>43</v>
      </c>
      <c r="F516" s="166"/>
      <c r="G516" s="167"/>
      <c r="H516" s="143">
        <f>ROUNDUP(H515*24/500,0)</f>
        <v>4</v>
      </c>
      <c r="I516" s="145" t="s">
        <v>44</v>
      </c>
      <c r="J516" s="37"/>
      <c r="K516" s="159"/>
      <c r="L516" s="160"/>
    </row>
    <row r="517" spans="1:12" s="21" customFormat="1" x14ac:dyDescent="0.2">
      <c r="A517" s="129" t="str">
        <f>IF(F517&lt;&gt;"",1+MAX($A$7:A516),"")</f>
        <v/>
      </c>
      <c r="B517" s="140"/>
      <c r="C517" s="140"/>
      <c r="D517" s="141"/>
      <c r="E517" s="165" t="s">
        <v>45</v>
      </c>
      <c r="F517" s="166"/>
      <c r="G517" s="167"/>
      <c r="H517" s="168">
        <f>ROUNDUP((H514)/200,0)</f>
        <v>11</v>
      </c>
      <c r="I517" s="145" t="s">
        <v>46</v>
      </c>
      <c r="J517" s="37"/>
      <c r="K517" s="159"/>
      <c r="L517" s="160"/>
    </row>
    <row r="518" spans="1:12" s="21" customFormat="1" x14ac:dyDescent="0.2">
      <c r="A518" s="129" t="str">
        <f>IF(F518&lt;&gt;"",1+MAX($A$7:A517),"")</f>
        <v/>
      </c>
      <c r="B518" s="140"/>
      <c r="C518" s="140"/>
      <c r="D518" s="141"/>
      <c r="E518" s="165" t="s">
        <v>47</v>
      </c>
      <c r="F518" s="166"/>
      <c r="G518" s="167"/>
      <c r="H518" s="168">
        <f>ROUNDUP((H514)*5.25/1000,0)</f>
        <v>11</v>
      </c>
      <c r="I518" s="145" t="s">
        <v>48</v>
      </c>
      <c r="J518" s="37"/>
      <c r="K518" s="159"/>
      <c r="L518" s="160"/>
    </row>
    <row r="519" spans="1:12" s="21" customFormat="1" x14ac:dyDescent="0.2">
      <c r="A519" s="129">
        <f>IF(F519&lt;&gt;"",1+MAX($A$7:A518),"")</f>
        <v>187</v>
      </c>
      <c r="B519" s="140" t="s">
        <v>105</v>
      </c>
      <c r="C519" s="140" t="s">
        <v>104</v>
      </c>
      <c r="D519" s="141"/>
      <c r="E519" s="163" t="s">
        <v>102</v>
      </c>
      <c r="F519" s="149">
        <f>51.5*4</f>
        <v>206</v>
      </c>
      <c r="G519" s="124">
        <v>0.1</v>
      </c>
      <c r="H519" s="143">
        <f>F519*(1+G519)</f>
        <v>226.60000000000002</v>
      </c>
      <c r="I519" s="145" t="s">
        <v>15</v>
      </c>
      <c r="J519" s="37">
        <f>J$148</f>
        <v>0</v>
      </c>
      <c r="K519" s="159">
        <f>J519*H519</f>
        <v>0</v>
      </c>
      <c r="L519" s="160"/>
    </row>
    <row r="520" spans="1:12" s="21" customFormat="1" x14ac:dyDescent="0.2">
      <c r="A520" s="129">
        <f>IF(F520&lt;&gt;"",1+MAX($A$7:A519),"")</f>
        <v>188</v>
      </c>
      <c r="B520" s="140" t="s">
        <v>105</v>
      </c>
      <c r="C520" s="140" t="s">
        <v>104</v>
      </c>
      <c r="D520" s="149"/>
      <c r="E520" s="163" t="s">
        <v>111</v>
      </c>
      <c r="F520" s="149">
        <f>51.5*9</f>
        <v>463.5</v>
      </c>
      <c r="G520" s="124">
        <v>0.1</v>
      </c>
      <c r="H520" s="143">
        <f>F520*(1+G520)</f>
        <v>509.85</v>
      </c>
      <c r="I520" s="145" t="s">
        <v>18</v>
      </c>
      <c r="J520" s="37">
        <f>J$187</f>
        <v>0</v>
      </c>
      <c r="K520" s="159">
        <f>J520*H520</f>
        <v>0</v>
      </c>
      <c r="L520" s="160"/>
    </row>
    <row r="521" spans="1:12" s="21" customFormat="1" x14ac:dyDescent="0.2">
      <c r="A521" s="129" t="str">
        <f>IF(F521&lt;&gt;"",1+MAX($A$7:A520),"")</f>
        <v/>
      </c>
      <c r="B521" s="140"/>
      <c r="C521" s="140"/>
      <c r="D521" s="141"/>
      <c r="E521" s="163"/>
      <c r="F521" s="149"/>
      <c r="G521" s="124"/>
      <c r="H521" s="143"/>
      <c r="I521" s="145"/>
      <c r="J521" s="37"/>
      <c r="K521" s="159"/>
      <c r="L521" s="160"/>
    </row>
    <row r="522" spans="1:12" s="21" customFormat="1" x14ac:dyDescent="0.2">
      <c r="A522" s="129" t="str">
        <f>IF(F522&lt;&gt;"",1+MAX($A$7:A521),"")</f>
        <v/>
      </c>
      <c r="B522" s="140"/>
      <c r="C522" s="140"/>
      <c r="D522" s="141"/>
      <c r="E522" s="158" t="s">
        <v>113</v>
      </c>
      <c r="F522" s="149"/>
      <c r="G522" s="144"/>
      <c r="H522" s="143"/>
      <c r="I522" s="145"/>
      <c r="J522" s="37"/>
      <c r="K522" s="159"/>
      <c r="L522" s="160"/>
    </row>
    <row r="523" spans="1:12" s="21" customFormat="1" ht="31.5" x14ac:dyDescent="0.2">
      <c r="A523" s="129">
        <f>IF(F523&lt;&gt;"",1+MAX($A$7:A522),"")</f>
        <v>189</v>
      </c>
      <c r="B523" s="140" t="s">
        <v>105</v>
      </c>
      <c r="C523" s="140" t="s">
        <v>104</v>
      </c>
      <c r="D523" s="149"/>
      <c r="E523" s="163" t="s">
        <v>65</v>
      </c>
      <c r="F523" s="149">
        <f>11.3*9*3</f>
        <v>305.10000000000002</v>
      </c>
      <c r="G523" s="124">
        <v>0.1</v>
      </c>
      <c r="H523" s="143">
        <f>F523*(1+G523)</f>
        <v>335.61000000000007</v>
      </c>
      <c r="I523" s="145" t="s">
        <v>18</v>
      </c>
      <c r="J523" s="37">
        <f>J$143</f>
        <v>0</v>
      </c>
      <c r="K523" s="159">
        <f>J523*H523</f>
        <v>0</v>
      </c>
      <c r="L523" s="160"/>
    </row>
    <row r="524" spans="1:12" s="21" customFormat="1" x14ac:dyDescent="0.2">
      <c r="A524" s="129" t="str">
        <f>IF(F524&lt;&gt;"",1+MAX($A$7:A523),"")</f>
        <v/>
      </c>
      <c r="B524" s="140"/>
      <c r="C524" s="140"/>
      <c r="D524" s="141"/>
      <c r="E524" s="165" t="s">
        <v>41</v>
      </c>
      <c r="F524" s="166"/>
      <c r="G524" s="167"/>
      <c r="H524" s="143">
        <f>ROUNDUP((H523)/32,0)</f>
        <v>11</v>
      </c>
      <c r="I524" s="145" t="s">
        <v>42</v>
      </c>
      <c r="J524" s="37"/>
      <c r="K524" s="159"/>
      <c r="L524" s="160"/>
    </row>
    <row r="525" spans="1:12" s="21" customFormat="1" x14ac:dyDescent="0.2">
      <c r="A525" s="129" t="str">
        <f>IF(F525&lt;&gt;"",1+MAX($A$7:A524),"")</f>
        <v/>
      </c>
      <c r="B525" s="140"/>
      <c r="C525" s="140"/>
      <c r="D525" s="141"/>
      <c r="E525" s="165" t="s">
        <v>43</v>
      </c>
      <c r="F525" s="166"/>
      <c r="G525" s="167"/>
      <c r="H525" s="143">
        <f>ROUNDUP(H524*24/500,0)</f>
        <v>1</v>
      </c>
      <c r="I525" s="145" t="s">
        <v>44</v>
      </c>
      <c r="J525" s="37"/>
      <c r="K525" s="159"/>
      <c r="L525" s="160"/>
    </row>
    <row r="526" spans="1:12" s="21" customFormat="1" x14ac:dyDescent="0.2">
      <c r="A526" s="129" t="str">
        <f>IF(F526&lt;&gt;"",1+MAX($A$7:A525),"")</f>
        <v/>
      </c>
      <c r="B526" s="140"/>
      <c r="C526" s="140"/>
      <c r="D526" s="141"/>
      <c r="E526" s="165" t="s">
        <v>45</v>
      </c>
      <c r="F526" s="166"/>
      <c r="G526" s="167"/>
      <c r="H526" s="168">
        <f>ROUNDUP((H523)/200,0)</f>
        <v>2</v>
      </c>
      <c r="I526" s="145" t="s">
        <v>46</v>
      </c>
      <c r="J526" s="37"/>
      <c r="K526" s="159"/>
      <c r="L526" s="160"/>
    </row>
    <row r="527" spans="1:12" s="21" customFormat="1" x14ac:dyDescent="0.2">
      <c r="A527" s="129" t="str">
        <f>IF(F527&lt;&gt;"",1+MAX($A$7:A526),"")</f>
        <v/>
      </c>
      <c r="B527" s="140"/>
      <c r="C527" s="140"/>
      <c r="D527" s="141"/>
      <c r="E527" s="165" t="s">
        <v>47</v>
      </c>
      <c r="F527" s="166"/>
      <c r="G527" s="167"/>
      <c r="H527" s="168">
        <f>ROUNDUP((H523)*5.25/1000,0)</f>
        <v>2</v>
      </c>
      <c r="I527" s="145" t="s">
        <v>48</v>
      </c>
      <c r="J527" s="37"/>
      <c r="K527" s="159"/>
      <c r="L527" s="160"/>
    </row>
    <row r="528" spans="1:12" s="21" customFormat="1" x14ac:dyDescent="0.2">
      <c r="A528" s="129">
        <f>IF(F528&lt;&gt;"",1+MAX($A$7:A527),"")</f>
        <v>190</v>
      </c>
      <c r="B528" s="140" t="s">
        <v>105</v>
      </c>
      <c r="C528" s="140" t="s">
        <v>104</v>
      </c>
      <c r="D528" s="149"/>
      <c r="E528" s="163" t="s">
        <v>101</v>
      </c>
      <c r="F528" s="149">
        <f>11.3*9</f>
        <v>101.7</v>
      </c>
      <c r="G528" s="124">
        <v>0.1</v>
      </c>
      <c r="H528" s="143">
        <f>F528*(1+G528)</f>
        <v>111.87000000000002</v>
      </c>
      <c r="I528" s="145" t="s">
        <v>18</v>
      </c>
      <c r="J528" s="37">
        <f>J$160</f>
        <v>0</v>
      </c>
      <c r="K528" s="159">
        <f>J528*H528</f>
        <v>0</v>
      </c>
      <c r="L528" s="160"/>
    </row>
    <row r="529" spans="1:12" s="21" customFormat="1" x14ac:dyDescent="0.2">
      <c r="A529" s="129" t="str">
        <f>IF(F529&lt;&gt;"",1+MAX($A$7:A528),"")</f>
        <v/>
      </c>
      <c r="B529" s="140"/>
      <c r="C529" s="140"/>
      <c r="D529" s="141"/>
      <c r="E529" s="165" t="s">
        <v>41</v>
      </c>
      <c r="F529" s="166"/>
      <c r="G529" s="167"/>
      <c r="H529" s="143">
        <f>ROUNDUP((H528)/32,0)</f>
        <v>4</v>
      </c>
      <c r="I529" s="145" t="s">
        <v>42</v>
      </c>
      <c r="J529" s="37"/>
      <c r="K529" s="159"/>
      <c r="L529" s="160"/>
    </row>
    <row r="530" spans="1:12" s="21" customFormat="1" x14ac:dyDescent="0.2">
      <c r="A530" s="129" t="str">
        <f>IF(F530&lt;&gt;"",1+MAX($A$7:A529),"")</f>
        <v/>
      </c>
      <c r="B530" s="140"/>
      <c r="C530" s="140"/>
      <c r="D530" s="141"/>
      <c r="E530" s="165" t="s">
        <v>43</v>
      </c>
      <c r="F530" s="166"/>
      <c r="G530" s="167"/>
      <c r="H530" s="143">
        <f>ROUNDUP(H529*24/500,0)</f>
        <v>1</v>
      </c>
      <c r="I530" s="145" t="s">
        <v>44</v>
      </c>
      <c r="J530" s="37"/>
      <c r="K530" s="159"/>
      <c r="L530" s="160"/>
    </row>
    <row r="531" spans="1:12" s="21" customFormat="1" x14ac:dyDescent="0.2">
      <c r="A531" s="129" t="str">
        <f>IF(F531&lt;&gt;"",1+MAX($A$7:A530),"")</f>
        <v/>
      </c>
      <c r="B531" s="140"/>
      <c r="C531" s="140"/>
      <c r="D531" s="141"/>
      <c r="E531" s="165" t="s">
        <v>45</v>
      </c>
      <c r="F531" s="166"/>
      <c r="G531" s="167"/>
      <c r="H531" s="168">
        <f>ROUNDUP((H528)/200,0)</f>
        <v>1</v>
      </c>
      <c r="I531" s="145" t="s">
        <v>46</v>
      </c>
      <c r="J531" s="37"/>
      <c r="K531" s="159"/>
      <c r="L531" s="160"/>
    </row>
    <row r="532" spans="1:12" s="21" customFormat="1" x14ac:dyDescent="0.2">
      <c r="A532" s="129" t="str">
        <f>IF(F532&lt;&gt;"",1+MAX($A$7:A531),"")</f>
        <v/>
      </c>
      <c r="B532" s="140"/>
      <c r="C532" s="140"/>
      <c r="D532" s="141"/>
      <c r="E532" s="165" t="s">
        <v>47</v>
      </c>
      <c r="F532" s="166"/>
      <c r="G532" s="167"/>
      <c r="H532" s="168">
        <f>ROUNDUP((H528)*5.25/1000,0)</f>
        <v>1</v>
      </c>
      <c r="I532" s="145" t="s">
        <v>48</v>
      </c>
      <c r="J532" s="37"/>
      <c r="K532" s="159"/>
      <c r="L532" s="160"/>
    </row>
    <row r="533" spans="1:12" s="21" customFormat="1" x14ac:dyDescent="0.2">
      <c r="A533" s="129">
        <f>IF(F533&lt;&gt;"",1+MAX($A$7:A532),"")</f>
        <v>191</v>
      </c>
      <c r="B533" s="140" t="s">
        <v>105</v>
      </c>
      <c r="C533" s="140" t="s">
        <v>104</v>
      </c>
      <c r="D533" s="141"/>
      <c r="E533" s="163" t="s">
        <v>102</v>
      </c>
      <c r="F533" s="149">
        <f>11.3*4</f>
        <v>45.2</v>
      </c>
      <c r="G533" s="124">
        <v>0.1</v>
      </c>
      <c r="H533" s="143">
        <f>F533*(1+G533)</f>
        <v>49.720000000000006</v>
      </c>
      <c r="I533" s="145" t="s">
        <v>15</v>
      </c>
      <c r="J533" s="37">
        <f>J$148</f>
        <v>0</v>
      </c>
      <c r="K533" s="159">
        <f>J533*H533</f>
        <v>0</v>
      </c>
      <c r="L533" s="160"/>
    </row>
    <row r="534" spans="1:12" s="21" customFormat="1" x14ac:dyDescent="0.2">
      <c r="A534" s="129">
        <f>IF(F534&lt;&gt;"",1+MAX($A$7:A533),"")</f>
        <v>192</v>
      </c>
      <c r="B534" s="140" t="s">
        <v>105</v>
      </c>
      <c r="C534" s="140" t="s">
        <v>104</v>
      </c>
      <c r="D534" s="149"/>
      <c r="E534" s="163" t="s">
        <v>112</v>
      </c>
      <c r="F534" s="149">
        <f>11.3*9</f>
        <v>101.7</v>
      </c>
      <c r="G534" s="124">
        <v>0.1</v>
      </c>
      <c r="H534" s="143">
        <f>F534*(1+G534)</f>
        <v>111.87000000000002</v>
      </c>
      <c r="I534" s="145" t="s">
        <v>18</v>
      </c>
      <c r="J534" s="37">
        <f>J$226</f>
        <v>0</v>
      </c>
      <c r="K534" s="159">
        <f>J534*H534</f>
        <v>0</v>
      </c>
      <c r="L534" s="160"/>
    </row>
    <row r="535" spans="1:12" s="21" customFormat="1" x14ac:dyDescent="0.2">
      <c r="A535" s="129" t="str">
        <f>IF(F535&lt;&gt;"",1+MAX($A$7:A534),"")</f>
        <v/>
      </c>
      <c r="B535" s="140"/>
      <c r="C535" s="140"/>
      <c r="D535" s="141"/>
      <c r="E535" s="163"/>
      <c r="F535" s="149"/>
      <c r="G535" s="124"/>
      <c r="H535" s="143"/>
      <c r="I535" s="145"/>
      <c r="J535" s="37"/>
      <c r="K535" s="159"/>
      <c r="L535" s="160"/>
    </row>
    <row r="536" spans="1:12" s="21" customFormat="1" x14ac:dyDescent="0.2">
      <c r="A536" s="129" t="str">
        <f>IF(F536&lt;&gt;"",1+MAX($A$7:A535),"")</f>
        <v/>
      </c>
      <c r="B536" s="140"/>
      <c r="C536" s="140"/>
      <c r="D536" s="141"/>
      <c r="E536" s="158" t="s">
        <v>114</v>
      </c>
      <c r="F536" s="149"/>
      <c r="G536" s="144"/>
      <c r="H536" s="143"/>
      <c r="I536" s="145"/>
      <c r="J536" s="37"/>
      <c r="K536" s="159"/>
      <c r="L536" s="160"/>
    </row>
    <row r="537" spans="1:12" s="21" customFormat="1" x14ac:dyDescent="0.2">
      <c r="A537" s="129">
        <f>IF(F537&lt;&gt;"",1+MAX($A$7:A536),"")</f>
        <v>193</v>
      </c>
      <c r="B537" s="140" t="s">
        <v>105</v>
      </c>
      <c r="C537" s="140" t="s">
        <v>104</v>
      </c>
      <c r="D537" s="149"/>
      <c r="E537" s="163" t="s">
        <v>133</v>
      </c>
      <c r="F537" s="149">
        <f>10.1*9*2*2</f>
        <v>363.59999999999997</v>
      </c>
      <c r="G537" s="124">
        <v>0.1</v>
      </c>
      <c r="H537" s="143">
        <f>F537*(1+G537)</f>
        <v>399.96</v>
      </c>
      <c r="I537" s="145" t="s">
        <v>18</v>
      </c>
      <c r="J537" s="37">
        <f>J$143</f>
        <v>0</v>
      </c>
      <c r="K537" s="159">
        <f>J537*H537</f>
        <v>0</v>
      </c>
      <c r="L537" s="160"/>
    </row>
    <row r="538" spans="1:12" s="21" customFormat="1" x14ac:dyDescent="0.2">
      <c r="A538" s="129" t="str">
        <f>IF(F538&lt;&gt;"",1+MAX($A$7:A537),"")</f>
        <v/>
      </c>
      <c r="B538" s="140"/>
      <c r="C538" s="140"/>
      <c r="D538" s="141"/>
      <c r="E538" s="165" t="s">
        <v>41</v>
      </c>
      <c r="F538" s="166"/>
      <c r="G538" s="167"/>
      <c r="H538" s="143">
        <f>ROUNDUP((H537)/32,0)</f>
        <v>13</v>
      </c>
      <c r="I538" s="145" t="s">
        <v>42</v>
      </c>
      <c r="J538" s="37"/>
      <c r="K538" s="159"/>
      <c r="L538" s="160"/>
    </row>
    <row r="539" spans="1:12" s="21" customFormat="1" x14ac:dyDescent="0.2">
      <c r="A539" s="129" t="str">
        <f>IF(F539&lt;&gt;"",1+MAX($A$7:A538),"")</f>
        <v/>
      </c>
      <c r="B539" s="140"/>
      <c r="C539" s="140"/>
      <c r="D539" s="141"/>
      <c r="E539" s="165" t="s">
        <v>43</v>
      </c>
      <c r="F539" s="166"/>
      <c r="G539" s="167"/>
      <c r="H539" s="143">
        <f>ROUNDUP(H538*24/500,0)</f>
        <v>1</v>
      </c>
      <c r="I539" s="145" t="s">
        <v>44</v>
      </c>
      <c r="J539" s="37"/>
      <c r="K539" s="159"/>
      <c r="L539" s="160"/>
    </row>
    <row r="540" spans="1:12" s="21" customFormat="1" x14ac:dyDescent="0.2">
      <c r="A540" s="129" t="str">
        <f>IF(F540&lt;&gt;"",1+MAX($A$7:A539),"")</f>
        <v/>
      </c>
      <c r="B540" s="140"/>
      <c r="C540" s="140"/>
      <c r="D540" s="141"/>
      <c r="E540" s="165" t="s">
        <v>45</v>
      </c>
      <c r="F540" s="166"/>
      <c r="G540" s="167"/>
      <c r="H540" s="168">
        <f>ROUNDUP((H537)/200,0)</f>
        <v>2</v>
      </c>
      <c r="I540" s="145" t="s">
        <v>46</v>
      </c>
      <c r="J540" s="37"/>
      <c r="K540" s="159"/>
      <c r="L540" s="160"/>
    </row>
    <row r="541" spans="1:12" s="21" customFormat="1" x14ac:dyDescent="0.2">
      <c r="A541" s="129" t="str">
        <f>IF(F541&lt;&gt;"",1+MAX($A$7:A540),"")</f>
        <v/>
      </c>
      <c r="B541" s="140"/>
      <c r="C541" s="140"/>
      <c r="D541" s="141"/>
      <c r="E541" s="165" t="s">
        <v>47</v>
      </c>
      <c r="F541" s="166"/>
      <c r="G541" s="167"/>
      <c r="H541" s="168">
        <f>ROUNDUP((H537)*5.25/1000,0)</f>
        <v>3</v>
      </c>
      <c r="I541" s="145" t="s">
        <v>48</v>
      </c>
      <c r="J541" s="37"/>
      <c r="K541" s="159"/>
      <c r="L541" s="160"/>
    </row>
    <row r="542" spans="1:12" s="21" customFormat="1" x14ac:dyDescent="0.2">
      <c r="A542" s="129">
        <f>IF(F542&lt;&gt;"",1+MAX($A$7:A541),"")</f>
        <v>194</v>
      </c>
      <c r="B542" s="140" t="s">
        <v>105</v>
      </c>
      <c r="C542" s="140" t="s">
        <v>104</v>
      </c>
      <c r="D542" s="141"/>
      <c r="E542" s="163" t="s">
        <v>102</v>
      </c>
      <c r="F542" s="149">
        <f>10.1*4</f>
        <v>40.4</v>
      </c>
      <c r="G542" s="124">
        <v>0.1</v>
      </c>
      <c r="H542" s="143">
        <f>F542*(1+G542)</f>
        <v>44.440000000000005</v>
      </c>
      <c r="I542" s="145" t="s">
        <v>15</v>
      </c>
      <c r="J542" s="37">
        <f>J$148</f>
        <v>0</v>
      </c>
      <c r="K542" s="159">
        <f>J542*H542</f>
        <v>0</v>
      </c>
      <c r="L542" s="160"/>
    </row>
    <row r="543" spans="1:12" s="21" customFormat="1" x14ac:dyDescent="0.2">
      <c r="A543" s="129">
        <f>IF(F543&lt;&gt;"",1+MAX($A$7:A542),"")</f>
        <v>195</v>
      </c>
      <c r="B543" s="140" t="s">
        <v>105</v>
      </c>
      <c r="C543" s="140" t="s">
        <v>104</v>
      </c>
      <c r="D543" s="149"/>
      <c r="E543" s="163" t="s">
        <v>349</v>
      </c>
      <c r="F543" s="149">
        <f>10.1*9</f>
        <v>90.899999999999991</v>
      </c>
      <c r="G543" s="124">
        <v>0.1</v>
      </c>
      <c r="H543" s="143">
        <f>F543*(1+G543)</f>
        <v>99.99</v>
      </c>
      <c r="I543" s="145" t="s">
        <v>18</v>
      </c>
      <c r="J543" s="37">
        <f>J$276</f>
        <v>0</v>
      </c>
      <c r="K543" s="159">
        <f>J543*H543</f>
        <v>0</v>
      </c>
      <c r="L543" s="160"/>
    </row>
    <row r="544" spans="1:12" s="21" customFormat="1" x14ac:dyDescent="0.2">
      <c r="A544" s="129">
        <f>IF(F544&lt;&gt;"",1+MAX($A$7:A543),"")</f>
        <v>196</v>
      </c>
      <c r="B544" s="140" t="s">
        <v>105</v>
      </c>
      <c r="C544" s="140" t="s">
        <v>104</v>
      </c>
      <c r="D544" s="149"/>
      <c r="E544" s="163" t="s">
        <v>134</v>
      </c>
      <c r="F544" s="149">
        <f>10.1*9</f>
        <v>90.899999999999991</v>
      </c>
      <c r="G544" s="124">
        <v>0.1</v>
      </c>
      <c r="H544" s="143">
        <f>F544*(1+G544)</f>
        <v>99.99</v>
      </c>
      <c r="I544" s="145" t="s">
        <v>18</v>
      </c>
      <c r="J544" s="37">
        <f>J$442</f>
        <v>0</v>
      </c>
      <c r="K544" s="159">
        <f>J544*H544</f>
        <v>0</v>
      </c>
      <c r="L544" s="160"/>
    </row>
    <row r="545" spans="1:12" s="21" customFormat="1" x14ac:dyDescent="0.2">
      <c r="A545" s="129" t="str">
        <f>IF(F545&lt;&gt;"",1+MAX($A$7:A544),"")</f>
        <v/>
      </c>
      <c r="B545" s="140"/>
      <c r="C545" s="140"/>
      <c r="D545" s="141"/>
      <c r="E545" s="163"/>
      <c r="F545" s="149"/>
      <c r="G545" s="124"/>
      <c r="H545" s="143"/>
      <c r="I545" s="145"/>
      <c r="J545" s="37"/>
      <c r="K545" s="159"/>
      <c r="L545" s="160"/>
    </row>
    <row r="546" spans="1:12" s="21" customFormat="1" x14ac:dyDescent="0.2">
      <c r="A546" s="129" t="str">
        <f>IF(F546&lt;&gt;"",1+MAX($A$7:A545),"")</f>
        <v/>
      </c>
      <c r="B546" s="140"/>
      <c r="C546" s="140"/>
      <c r="D546" s="141"/>
      <c r="E546" s="158" t="s">
        <v>192</v>
      </c>
      <c r="F546" s="149"/>
      <c r="G546" s="144"/>
      <c r="H546" s="143"/>
      <c r="I546" s="145"/>
      <c r="J546" s="37"/>
      <c r="K546" s="159"/>
      <c r="L546" s="160"/>
    </row>
    <row r="547" spans="1:12" s="21" customFormat="1" x14ac:dyDescent="0.2">
      <c r="A547" s="129">
        <f>IF(F547&lt;&gt;"",1+MAX($A$7:A546),"")</f>
        <v>197</v>
      </c>
      <c r="B547" s="140" t="s">
        <v>105</v>
      </c>
      <c r="C547" s="140" t="s">
        <v>104</v>
      </c>
      <c r="D547" s="149"/>
      <c r="E547" s="163" t="s">
        <v>100</v>
      </c>
      <c r="F547" s="149">
        <f>302.1*9*2+106*9+9.8*9*2</f>
        <v>6568.2</v>
      </c>
      <c r="G547" s="124">
        <v>0.1</v>
      </c>
      <c r="H547" s="143">
        <f>F547*(1+G547)</f>
        <v>7225.02</v>
      </c>
      <c r="I547" s="145" t="s">
        <v>18</v>
      </c>
      <c r="J547" s="37">
        <f>J$143</f>
        <v>0</v>
      </c>
      <c r="K547" s="159">
        <f>J547*H547</f>
        <v>0</v>
      </c>
      <c r="L547" s="160"/>
    </row>
    <row r="548" spans="1:12" s="21" customFormat="1" x14ac:dyDescent="0.2">
      <c r="A548" s="129" t="str">
        <f>IF(F548&lt;&gt;"",1+MAX($A$7:A547),"")</f>
        <v/>
      </c>
      <c r="B548" s="140"/>
      <c r="C548" s="140"/>
      <c r="D548" s="141"/>
      <c r="E548" s="165" t="s">
        <v>41</v>
      </c>
      <c r="F548" s="166"/>
      <c r="G548" s="167"/>
      <c r="H548" s="143">
        <f>ROUNDUP((H547)/32,0)</f>
        <v>226</v>
      </c>
      <c r="I548" s="145" t="s">
        <v>42</v>
      </c>
      <c r="J548" s="37"/>
      <c r="K548" s="159"/>
      <c r="L548" s="160"/>
    </row>
    <row r="549" spans="1:12" s="21" customFormat="1" x14ac:dyDescent="0.2">
      <c r="A549" s="129" t="str">
        <f>IF(F549&lt;&gt;"",1+MAX($A$7:A548),"")</f>
        <v/>
      </c>
      <c r="B549" s="140"/>
      <c r="C549" s="140"/>
      <c r="D549" s="141"/>
      <c r="E549" s="165" t="s">
        <v>43</v>
      </c>
      <c r="F549" s="166"/>
      <c r="G549" s="167"/>
      <c r="H549" s="143">
        <f>ROUNDUP(H548*24/500,0)</f>
        <v>11</v>
      </c>
      <c r="I549" s="145" t="s">
        <v>44</v>
      </c>
      <c r="J549" s="37"/>
      <c r="K549" s="159"/>
      <c r="L549" s="160"/>
    </row>
    <row r="550" spans="1:12" s="21" customFormat="1" x14ac:dyDescent="0.2">
      <c r="A550" s="129" t="str">
        <f>IF(F550&lt;&gt;"",1+MAX($A$7:A549),"")</f>
        <v/>
      </c>
      <c r="B550" s="140"/>
      <c r="C550" s="140"/>
      <c r="D550" s="141"/>
      <c r="E550" s="165" t="s">
        <v>45</v>
      </c>
      <c r="F550" s="166"/>
      <c r="G550" s="167"/>
      <c r="H550" s="168">
        <f>ROUNDUP((H547)/200,0)</f>
        <v>37</v>
      </c>
      <c r="I550" s="145" t="s">
        <v>46</v>
      </c>
      <c r="J550" s="37"/>
      <c r="K550" s="159"/>
      <c r="L550" s="160"/>
    </row>
    <row r="551" spans="1:12" s="21" customFormat="1" x14ac:dyDescent="0.2">
      <c r="A551" s="129" t="str">
        <f>IF(F551&lt;&gt;"",1+MAX($A$7:A550),"")</f>
        <v/>
      </c>
      <c r="B551" s="140"/>
      <c r="C551" s="140"/>
      <c r="D551" s="141"/>
      <c r="E551" s="165" t="s">
        <v>47</v>
      </c>
      <c r="F551" s="166"/>
      <c r="G551" s="167"/>
      <c r="H551" s="168">
        <f>ROUNDUP((H547)*5.25/1000,0)</f>
        <v>38</v>
      </c>
      <c r="I551" s="145" t="s">
        <v>48</v>
      </c>
      <c r="J551" s="37"/>
      <c r="K551" s="159"/>
      <c r="L551" s="160"/>
    </row>
    <row r="552" spans="1:12" s="21" customFormat="1" x14ac:dyDescent="0.2">
      <c r="A552" s="129">
        <f>IF(F552&lt;&gt;"",1+MAX($A$7:A551),"")</f>
        <v>198</v>
      </c>
      <c r="B552" s="140" t="s">
        <v>105</v>
      </c>
      <c r="C552" s="140" t="s">
        <v>104</v>
      </c>
      <c r="D552" s="149"/>
      <c r="E552" s="163" t="s">
        <v>101</v>
      </c>
      <c r="F552" s="149">
        <f>106*9</f>
        <v>954</v>
      </c>
      <c r="G552" s="124">
        <v>0.1</v>
      </c>
      <c r="H552" s="143">
        <f>F552*(1+G552)</f>
        <v>1049.4000000000001</v>
      </c>
      <c r="I552" s="145" t="s">
        <v>18</v>
      </c>
      <c r="J552" s="37">
        <f>J$160</f>
        <v>0</v>
      </c>
      <c r="K552" s="159">
        <f>J552*H552</f>
        <v>0</v>
      </c>
      <c r="L552" s="160"/>
    </row>
    <row r="553" spans="1:12" s="21" customFormat="1" x14ac:dyDescent="0.2">
      <c r="A553" s="129" t="str">
        <f>IF(F553&lt;&gt;"",1+MAX($A$7:A552),"")</f>
        <v/>
      </c>
      <c r="B553" s="140"/>
      <c r="C553" s="140"/>
      <c r="D553" s="141"/>
      <c r="E553" s="165" t="s">
        <v>41</v>
      </c>
      <c r="F553" s="166"/>
      <c r="G553" s="167"/>
      <c r="H553" s="143">
        <f>ROUNDUP((H552)/32,0)</f>
        <v>33</v>
      </c>
      <c r="I553" s="145" t="s">
        <v>42</v>
      </c>
      <c r="J553" s="37"/>
      <c r="K553" s="159"/>
      <c r="L553" s="160"/>
    </row>
    <row r="554" spans="1:12" s="21" customFormat="1" x14ac:dyDescent="0.2">
      <c r="A554" s="129" t="str">
        <f>IF(F554&lt;&gt;"",1+MAX($A$7:A553),"")</f>
        <v/>
      </c>
      <c r="B554" s="140"/>
      <c r="C554" s="140"/>
      <c r="D554" s="141"/>
      <c r="E554" s="165" t="s">
        <v>43</v>
      </c>
      <c r="F554" s="166"/>
      <c r="G554" s="167"/>
      <c r="H554" s="143">
        <f>ROUNDUP(H553*24/500,0)</f>
        <v>2</v>
      </c>
      <c r="I554" s="145" t="s">
        <v>44</v>
      </c>
      <c r="J554" s="37"/>
      <c r="K554" s="159"/>
      <c r="L554" s="160"/>
    </row>
    <row r="555" spans="1:12" s="21" customFormat="1" x14ac:dyDescent="0.2">
      <c r="A555" s="129" t="str">
        <f>IF(F555&lt;&gt;"",1+MAX($A$7:A554),"")</f>
        <v/>
      </c>
      <c r="B555" s="140"/>
      <c r="C555" s="140"/>
      <c r="D555" s="141"/>
      <c r="E555" s="165" t="s">
        <v>45</v>
      </c>
      <c r="F555" s="166"/>
      <c r="G555" s="167"/>
      <c r="H555" s="168">
        <f>ROUNDUP((H552)/200,0)</f>
        <v>6</v>
      </c>
      <c r="I555" s="145" t="s">
        <v>46</v>
      </c>
      <c r="J555" s="37"/>
      <c r="K555" s="159"/>
      <c r="L555" s="160"/>
    </row>
    <row r="556" spans="1:12" s="21" customFormat="1" x14ac:dyDescent="0.2">
      <c r="A556" s="129" t="str">
        <f>IF(F556&lt;&gt;"",1+MAX($A$7:A555),"")</f>
        <v/>
      </c>
      <c r="B556" s="140"/>
      <c r="C556" s="140"/>
      <c r="D556" s="141"/>
      <c r="E556" s="165" t="s">
        <v>47</v>
      </c>
      <c r="F556" s="166"/>
      <c r="G556" s="167"/>
      <c r="H556" s="168">
        <f>ROUNDUP((H552)*5.25/1000,0)</f>
        <v>6</v>
      </c>
      <c r="I556" s="145" t="s">
        <v>48</v>
      </c>
      <c r="J556" s="37"/>
      <c r="K556" s="159"/>
      <c r="L556" s="160"/>
    </row>
    <row r="557" spans="1:12" s="21" customFormat="1" x14ac:dyDescent="0.2">
      <c r="A557" s="129">
        <f>IF(F557&lt;&gt;"",1+MAX($A$7:A556),"")</f>
        <v>199</v>
      </c>
      <c r="B557" s="140" t="s">
        <v>105</v>
      </c>
      <c r="C557" s="140" t="s">
        <v>104</v>
      </c>
      <c r="D557" s="141"/>
      <c r="E557" s="163" t="s">
        <v>102</v>
      </c>
      <c r="F557" s="149">
        <f>(408.1+9.8)*4</f>
        <v>1671.6000000000001</v>
      </c>
      <c r="G557" s="124">
        <v>0.1</v>
      </c>
      <c r="H557" s="143">
        <f>F557*(1+G557)</f>
        <v>1838.7600000000002</v>
      </c>
      <c r="I557" s="145" t="s">
        <v>15</v>
      </c>
      <c r="J557" s="37">
        <f>J$148</f>
        <v>0</v>
      </c>
      <c r="K557" s="159">
        <f>J557*H557</f>
        <v>0</v>
      </c>
      <c r="L557" s="160"/>
    </row>
    <row r="558" spans="1:12" s="21" customFormat="1" x14ac:dyDescent="0.2">
      <c r="A558" s="129">
        <f>IF(F558&lt;&gt;"",1+MAX($A$7:A557),"")</f>
        <v>200</v>
      </c>
      <c r="B558" s="140" t="s">
        <v>105</v>
      </c>
      <c r="C558" s="140" t="s">
        <v>104</v>
      </c>
      <c r="D558" s="149"/>
      <c r="E558" s="163" t="s">
        <v>111</v>
      </c>
      <c r="F558" s="149">
        <f>(408.1+9.8)*9</f>
        <v>3761.1000000000004</v>
      </c>
      <c r="G558" s="124">
        <v>0.1</v>
      </c>
      <c r="H558" s="143">
        <f>F558*(1+G558)</f>
        <v>4137.2100000000009</v>
      </c>
      <c r="I558" s="145" t="s">
        <v>18</v>
      </c>
      <c r="J558" s="37">
        <f>J$187</f>
        <v>0</v>
      </c>
      <c r="K558" s="159">
        <f>J558*H558</f>
        <v>0</v>
      </c>
      <c r="L558" s="160"/>
    </row>
    <row r="559" spans="1:12" s="21" customFormat="1" x14ac:dyDescent="0.2">
      <c r="A559" s="129">
        <f>IF(F559&lt;&gt;"",1+MAX($A$7:A558),"")</f>
        <v>201</v>
      </c>
      <c r="B559" s="140" t="s">
        <v>105</v>
      </c>
      <c r="C559" s="140" t="s">
        <v>104</v>
      </c>
      <c r="D559" s="149"/>
      <c r="E559" s="163" t="s">
        <v>116</v>
      </c>
      <c r="F559" s="149">
        <f>(408.1+9.8)*9</f>
        <v>3761.1000000000004</v>
      </c>
      <c r="G559" s="124">
        <v>0.1</v>
      </c>
      <c r="H559" s="143">
        <f>F559*(1+G559)</f>
        <v>4137.2100000000009</v>
      </c>
      <c r="I559" s="145" t="s">
        <v>18</v>
      </c>
      <c r="J559" s="37">
        <f>J$202</f>
        <v>0</v>
      </c>
      <c r="K559" s="159">
        <f>J559*H559</f>
        <v>0</v>
      </c>
      <c r="L559" s="160"/>
    </row>
    <row r="560" spans="1:12" s="21" customFormat="1" x14ac:dyDescent="0.2">
      <c r="A560" s="129" t="str">
        <f>IF(F560&lt;&gt;"",1+MAX($A$7:A559),"")</f>
        <v/>
      </c>
      <c r="B560" s="140"/>
      <c r="C560" s="140"/>
      <c r="D560" s="141"/>
      <c r="E560" s="163"/>
      <c r="F560" s="149"/>
      <c r="G560" s="124"/>
      <c r="H560" s="143"/>
      <c r="I560" s="145"/>
      <c r="J560" s="37"/>
      <c r="K560" s="159"/>
      <c r="L560" s="160"/>
    </row>
    <row r="561" spans="1:12" s="21" customFormat="1" x14ac:dyDescent="0.2">
      <c r="A561" s="129" t="str">
        <f>IF(F561&lt;&gt;"",1+MAX($A$7:A560),"")</f>
        <v/>
      </c>
      <c r="B561" s="140"/>
      <c r="C561" s="140"/>
      <c r="D561" s="141"/>
      <c r="E561" s="158" t="s">
        <v>193</v>
      </c>
      <c r="F561" s="149"/>
      <c r="G561" s="144"/>
      <c r="H561" s="143"/>
      <c r="I561" s="145"/>
      <c r="J561" s="37"/>
      <c r="K561" s="159"/>
      <c r="L561" s="160"/>
    </row>
    <row r="562" spans="1:12" s="21" customFormat="1" x14ac:dyDescent="0.2">
      <c r="A562" s="129">
        <f>IF(F562&lt;&gt;"",1+MAX($A$7:A561),"")</f>
        <v>202</v>
      </c>
      <c r="B562" s="140" t="s">
        <v>105</v>
      </c>
      <c r="C562" s="140" t="s">
        <v>104</v>
      </c>
      <c r="D562" s="149"/>
      <c r="E562" s="163" t="s">
        <v>100</v>
      </c>
      <c r="F562" s="149">
        <f>331.6*9*2</f>
        <v>5968.8</v>
      </c>
      <c r="G562" s="124">
        <v>0.1</v>
      </c>
      <c r="H562" s="143">
        <f>F562*(1+G562)</f>
        <v>6565.68</v>
      </c>
      <c r="I562" s="145" t="s">
        <v>18</v>
      </c>
      <c r="J562" s="37">
        <f>J$143</f>
        <v>0</v>
      </c>
      <c r="K562" s="159">
        <f>J562*H562</f>
        <v>0</v>
      </c>
      <c r="L562" s="160"/>
    </row>
    <row r="563" spans="1:12" s="21" customFormat="1" x14ac:dyDescent="0.2">
      <c r="A563" s="129" t="str">
        <f>IF(F563&lt;&gt;"",1+MAX($A$7:A562),"")</f>
        <v/>
      </c>
      <c r="B563" s="140"/>
      <c r="C563" s="140"/>
      <c r="D563" s="141"/>
      <c r="E563" s="165" t="s">
        <v>41</v>
      </c>
      <c r="F563" s="166"/>
      <c r="G563" s="167"/>
      <c r="H563" s="143">
        <f>ROUNDUP((H562)/32,0)</f>
        <v>206</v>
      </c>
      <c r="I563" s="145" t="s">
        <v>42</v>
      </c>
      <c r="J563" s="37"/>
      <c r="K563" s="159"/>
      <c r="L563" s="160"/>
    </row>
    <row r="564" spans="1:12" s="21" customFormat="1" x14ac:dyDescent="0.2">
      <c r="A564" s="129" t="str">
        <f>IF(F564&lt;&gt;"",1+MAX($A$7:A563),"")</f>
        <v/>
      </c>
      <c r="B564" s="140"/>
      <c r="C564" s="140"/>
      <c r="D564" s="141"/>
      <c r="E564" s="165" t="s">
        <v>43</v>
      </c>
      <c r="F564" s="166"/>
      <c r="G564" s="167"/>
      <c r="H564" s="143">
        <f>ROUNDUP(H563*24/500,0)</f>
        <v>10</v>
      </c>
      <c r="I564" s="145" t="s">
        <v>44</v>
      </c>
      <c r="J564" s="37"/>
      <c r="K564" s="159"/>
      <c r="L564" s="160"/>
    </row>
    <row r="565" spans="1:12" s="21" customFormat="1" x14ac:dyDescent="0.2">
      <c r="A565" s="129" t="str">
        <f>IF(F565&lt;&gt;"",1+MAX($A$7:A564),"")</f>
        <v/>
      </c>
      <c r="B565" s="140"/>
      <c r="C565" s="140"/>
      <c r="D565" s="141"/>
      <c r="E565" s="165" t="s">
        <v>45</v>
      </c>
      <c r="F565" s="166"/>
      <c r="G565" s="167"/>
      <c r="H565" s="168">
        <f>ROUNDUP((H562)/200,0)</f>
        <v>33</v>
      </c>
      <c r="I565" s="145" t="s">
        <v>46</v>
      </c>
      <c r="J565" s="37"/>
      <c r="K565" s="159"/>
      <c r="L565" s="160"/>
    </row>
    <row r="566" spans="1:12" s="21" customFormat="1" x14ac:dyDescent="0.2">
      <c r="A566" s="129" t="str">
        <f>IF(F566&lt;&gt;"",1+MAX($A$7:A565),"")</f>
        <v/>
      </c>
      <c r="B566" s="140"/>
      <c r="C566" s="140"/>
      <c r="D566" s="141"/>
      <c r="E566" s="165" t="s">
        <v>47</v>
      </c>
      <c r="F566" s="166"/>
      <c r="G566" s="167"/>
      <c r="H566" s="168">
        <f>ROUNDUP((H562)*5.25/1000,0)</f>
        <v>35</v>
      </c>
      <c r="I566" s="145" t="s">
        <v>48</v>
      </c>
      <c r="J566" s="37"/>
      <c r="K566" s="159"/>
      <c r="L566" s="160"/>
    </row>
    <row r="567" spans="1:12" s="21" customFormat="1" x14ac:dyDescent="0.2">
      <c r="A567" s="129">
        <f>IF(F567&lt;&gt;"",1+MAX($A$7:A566),"")</f>
        <v>203</v>
      </c>
      <c r="B567" s="140" t="s">
        <v>105</v>
      </c>
      <c r="C567" s="140" t="s">
        <v>104</v>
      </c>
      <c r="D567" s="141"/>
      <c r="E567" s="163" t="s">
        <v>102</v>
      </c>
      <c r="F567" s="149">
        <f>331.6*4</f>
        <v>1326.4</v>
      </c>
      <c r="G567" s="124">
        <v>0.1</v>
      </c>
      <c r="H567" s="143">
        <f>F567*(1+G567)</f>
        <v>1459.0400000000002</v>
      </c>
      <c r="I567" s="145" t="s">
        <v>15</v>
      </c>
      <c r="J567" s="37">
        <f>J$148</f>
        <v>0</v>
      </c>
      <c r="K567" s="159">
        <f>J567*H567</f>
        <v>0</v>
      </c>
      <c r="L567" s="160"/>
    </row>
    <row r="568" spans="1:12" s="21" customFormat="1" x14ac:dyDescent="0.2">
      <c r="A568" s="129">
        <f>IF(F568&lt;&gt;"",1+MAX($A$7:A567),"")</f>
        <v>204</v>
      </c>
      <c r="B568" s="140" t="s">
        <v>105</v>
      </c>
      <c r="C568" s="140" t="s">
        <v>104</v>
      </c>
      <c r="D568" s="149"/>
      <c r="E568" s="163" t="s">
        <v>111</v>
      </c>
      <c r="F568" s="149">
        <f>331.6*9</f>
        <v>2984.4</v>
      </c>
      <c r="G568" s="124">
        <v>0.1</v>
      </c>
      <c r="H568" s="143">
        <f>F568*(1+G568)</f>
        <v>3282.84</v>
      </c>
      <c r="I568" s="145" t="s">
        <v>18</v>
      </c>
      <c r="J568" s="37">
        <f>J$187</f>
        <v>0</v>
      </c>
      <c r="K568" s="159">
        <f>J568*H568</f>
        <v>0</v>
      </c>
      <c r="L568" s="160"/>
    </row>
    <row r="569" spans="1:12" s="21" customFormat="1" x14ac:dyDescent="0.2">
      <c r="A569" s="129">
        <f>IF(F569&lt;&gt;"",1+MAX($A$7:A568),"")</f>
        <v>205</v>
      </c>
      <c r="B569" s="140" t="s">
        <v>105</v>
      </c>
      <c r="C569" s="140" t="s">
        <v>104</v>
      </c>
      <c r="D569" s="149"/>
      <c r="E569" s="163" t="s">
        <v>116</v>
      </c>
      <c r="F569" s="149">
        <f>331.6*9</f>
        <v>2984.4</v>
      </c>
      <c r="G569" s="124">
        <v>0.1</v>
      </c>
      <c r="H569" s="143">
        <f>F569*(1+G569)</f>
        <v>3282.84</v>
      </c>
      <c r="I569" s="145" t="s">
        <v>18</v>
      </c>
      <c r="J569" s="37">
        <f>J$202</f>
        <v>0</v>
      </c>
      <c r="K569" s="159">
        <f>J569*H569</f>
        <v>0</v>
      </c>
      <c r="L569" s="160"/>
    </row>
    <row r="570" spans="1:12" s="21" customFormat="1" x14ac:dyDescent="0.2">
      <c r="A570" s="129" t="str">
        <f>IF(F570&lt;&gt;"",1+MAX($A$7:A569),"")</f>
        <v/>
      </c>
      <c r="B570" s="140"/>
      <c r="C570" s="140"/>
      <c r="D570" s="141"/>
      <c r="E570" s="163"/>
      <c r="F570" s="149"/>
      <c r="G570" s="124"/>
      <c r="H570" s="143"/>
      <c r="I570" s="145"/>
      <c r="J570" s="37"/>
      <c r="K570" s="159"/>
      <c r="L570" s="160"/>
    </row>
    <row r="571" spans="1:12" s="21" customFormat="1" x14ac:dyDescent="0.2">
      <c r="A571" s="129" t="str">
        <f>IF(F571&lt;&gt;"",1+MAX($A$7:A570),"")</f>
        <v/>
      </c>
      <c r="B571" s="140"/>
      <c r="C571" s="140"/>
      <c r="D571" s="141"/>
      <c r="E571" s="158" t="s">
        <v>117</v>
      </c>
      <c r="F571" s="149"/>
      <c r="G571" s="144"/>
      <c r="H571" s="143"/>
      <c r="I571" s="145"/>
      <c r="J571" s="37"/>
      <c r="K571" s="159"/>
      <c r="L571" s="160"/>
    </row>
    <row r="572" spans="1:12" s="21" customFormat="1" x14ac:dyDescent="0.2">
      <c r="A572" s="129">
        <f>IF(F572&lt;&gt;"",1+MAX($A$7:A571),"")</f>
        <v>206</v>
      </c>
      <c r="B572" s="140" t="s">
        <v>105</v>
      </c>
      <c r="C572" s="140" t="s">
        <v>104</v>
      </c>
      <c r="D572" s="149"/>
      <c r="E572" s="163" t="s">
        <v>115</v>
      </c>
      <c r="F572" s="149">
        <f>134.9*9</f>
        <v>1214.1000000000001</v>
      </c>
      <c r="G572" s="124">
        <v>0.1</v>
      </c>
      <c r="H572" s="143">
        <f>F572*(1+G572)</f>
        <v>1335.5100000000002</v>
      </c>
      <c r="I572" s="145" t="s">
        <v>18</v>
      </c>
      <c r="J572" s="37">
        <f>J$143</f>
        <v>0</v>
      </c>
      <c r="K572" s="159">
        <f>J572*H572</f>
        <v>0</v>
      </c>
      <c r="L572" s="160"/>
    </row>
    <row r="573" spans="1:12" s="21" customFormat="1" x14ac:dyDescent="0.2">
      <c r="A573" s="129" t="str">
        <f>IF(F573&lt;&gt;"",1+MAX($A$7:A572),"")</f>
        <v/>
      </c>
      <c r="B573" s="140"/>
      <c r="C573" s="140"/>
      <c r="D573" s="141"/>
      <c r="E573" s="165" t="s">
        <v>41</v>
      </c>
      <c r="F573" s="166"/>
      <c r="G573" s="167"/>
      <c r="H573" s="143">
        <f>ROUNDUP((H572)/32,0)</f>
        <v>42</v>
      </c>
      <c r="I573" s="145" t="s">
        <v>42</v>
      </c>
      <c r="J573" s="37"/>
      <c r="K573" s="159"/>
      <c r="L573" s="160"/>
    </row>
    <row r="574" spans="1:12" s="21" customFormat="1" x14ac:dyDescent="0.2">
      <c r="A574" s="129" t="str">
        <f>IF(F574&lt;&gt;"",1+MAX($A$7:A573),"")</f>
        <v/>
      </c>
      <c r="B574" s="140"/>
      <c r="C574" s="140"/>
      <c r="D574" s="141"/>
      <c r="E574" s="165" t="s">
        <v>43</v>
      </c>
      <c r="F574" s="166"/>
      <c r="G574" s="167"/>
      <c r="H574" s="143">
        <f>ROUNDUP(H573*24/500,0)</f>
        <v>3</v>
      </c>
      <c r="I574" s="145" t="s">
        <v>44</v>
      </c>
      <c r="J574" s="37"/>
      <c r="K574" s="159"/>
      <c r="L574" s="160"/>
    </row>
    <row r="575" spans="1:12" s="21" customFormat="1" x14ac:dyDescent="0.2">
      <c r="A575" s="129" t="str">
        <f>IF(F575&lt;&gt;"",1+MAX($A$7:A574),"")</f>
        <v/>
      </c>
      <c r="B575" s="140"/>
      <c r="C575" s="140"/>
      <c r="D575" s="141"/>
      <c r="E575" s="165" t="s">
        <v>45</v>
      </c>
      <c r="F575" s="166"/>
      <c r="G575" s="167"/>
      <c r="H575" s="168">
        <f>ROUNDUP((H572)/200,0)</f>
        <v>7</v>
      </c>
      <c r="I575" s="145" t="s">
        <v>46</v>
      </c>
      <c r="J575" s="37"/>
      <c r="K575" s="159"/>
      <c r="L575" s="160"/>
    </row>
    <row r="576" spans="1:12" s="21" customFormat="1" x14ac:dyDescent="0.2">
      <c r="A576" s="129" t="str">
        <f>IF(F576&lt;&gt;"",1+MAX($A$7:A575),"")</f>
        <v/>
      </c>
      <c r="B576" s="140"/>
      <c r="C576" s="140"/>
      <c r="D576" s="141"/>
      <c r="E576" s="165" t="s">
        <v>47</v>
      </c>
      <c r="F576" s="166"/>
      <c r="G576" s="167"/>
      <c r="H576" s="168">
        <f>ROUNDUP((H572)*5.25/1000,0)</f>
        <v>8</v>
      </c>
      <c r="I576" s="145" t="s">
        <v>48</v>
      </c>
      <c r="J576" s="37"/>
      <c r="K576" s="159"/>
      <c r="L576" s="160"/>
    </row>
    <row r="577" spans="1:12" s="21" customFormat="1" x14ac:dyDescent="0.2">
      <c r="A577" s="129">
        <f>IF(F577&lt;&gt;"",1+MAX($A$7:A576),"")</f>
        <v>207</v>
      </c>
      <c r="B577" s="140" t="s">
        <v>105</v>
      </c>
      <c r="C577" s="140" t="s">
        <v>104</v>
      </c>
      <c r="D577" s="149"/>
      <c r="E577" s="163" t="s">
        <v>101</v>
      </c>
      <c r="F577" s="149">
        <f>42*9</f>
        <v>378</v>
      </c>
      <c r="G577" s="124">
        <v>0.1</v>
      </c>
      <c r="H577" s="143">
        <f>F577*(1+G577)</f>
        <v>415.8</v>
      </c>
      <c r="I577" s="145" t="s">
        <v>18</v>
      </c>
      <c r="J577" s="37">
        <f>J$160</f>
        <v>0</v>
      </c>
      <c r="K577" s="159">
        <f>J577*H577</f>
        <v>0</v>
      </c>
      <c r="L577" s="160"/>
    </row>
    <row r="578" spans="1:12" s="21" customFormat="1" x14ac:dyDescent="0.2">
      <c r="A578" s="129" t="str">
        <f>IF(F578&lt;&gt;"",1+MAX($A$7:A577),"")</f>
        <v/>
      </c>
      <c r="B578" s="140"/>
      <c r="C578" s="140"/>
      <c r="D578" s="141"/>
      <c r="E578" s="165" t="s">
        <v>41</v>
      </c>
      <c r="F578" s="166"/>
      <c r="G578" s="167"/>
      <c r="H578" s="143">
        <f>ROUNDUP((H577)/32,0)</f>
        <v>13</v>
      </c>
      <c r="I578" s="145" t="s">
        <v>42</v>
      </c>
      <c r="J578" s="37"/>
      <c r="K578" s="159"/>
      <c r="L578" s="160"/>
    </row>
    <row r="579" spans="1:12" s="21" customFormat="1" x14ac:dyDescent="0.2">
      <c r="A579" s="129" t="str">
        <f>IF(F579&lt;&gt;"",1+MAX($A$7:A578),"")</f>
        <v/>
      </c>
      <c r="B579" s="140"/>
      <c r="C579" s="140"/>
      <c r="D579" s="141"/>
      <c r="E579" s="165" t="s">
        <v>43</v>
      </c>
      <c r="F579" s="166"/>
      <c r="G579" s="167"/>
      <c r="H579" s="143">
        <f>ROUNDUP(H578*24/500,0)</f>
        <v>1</v>
      </c>
      <c r="I579" s="145" t="s">
        <v>44</v>
      </c>
      <c r="J579" s="37"/>
      <c r="K579" s="159"/>
      <c r="L579" s="160"/>
    </row>
    <row r="580" spans="1:12" s="21" customFormat="1" x14ac:dyDescent="0.2">
      <c r="A580" s="129" t="str">
        <f>IF(F580&lt;&gt;"",1+MAX($A$7:A579),"")</f>
        <v/>
      </c>
      <c r="B580" s="140"/>
      <c r="C580" s="140"/>
      <c r="D580" s="141"/>
      <c r="E580" s="165" t="s">
        <v>45</v>
      </c>
      <c r="F580" s="166"/>
      <c r="G580" s="167"/>
      <c r="H580" s="168">
        <f>ROUNDUP((H577)/200,0)</f>
        <v>3</v>
      </c>
      <c r="I580" s="145" t="s">
        <v>46</v>
      </c>
      <c r="J580" s="37"/>
      <c r="K580" s="159"/>
      <c r="L580" s="160"/>
    </row>
    <row r="581" spans="1:12" s="21" customFormat="1" x14ac:dyDescent="0.2">
      <c r="A581" s="129" t="str">
        <f>IF(F581&lt;&gt;"",1+MAX($A$7:A580),"")</f>
        <v/>
      </c>
      <c r="B581" s="140"/>
      <c r="C581" s="140"/>
      <c r="D581" s="141"/>
      <c r="E581" s="165" t="s">
        <v>47</v>
      </c>
      <c r="F581" s="166"/>
      <c r="G581" s="167"/>
      <c r="H581" s="168">
        <f>ROUNDUP((H577)*5.25/1000,0)</f>
        <v>3</v>
      </c>
      <c r="I581" s="145" t="s">
        <v>48</v>
      </c>
      <c r="J581" s="37"/>
      <c r="K581" s="159"/>
      <c r="L581" s="160"/>
    </row>
    <row r="582" spans="1:12" s="21" customFormat="1" x14ac:dyDescent="0.2">
      <c r="A582" s="129">
        <f>IF(F582&lt;&gt;"",1+MAX($A$7:A581),"")</f>
        <v>208</v>
      </c>
      <c r="B582" s="140" t="s">
        <v>105</v>
      </c>
      <c r="C582" s="140" t="s">
        <v>104</v>
      </c>
      <c r="D582" s="141"/>
      <c r="E582" s="163" t="s">
        <v>102</v>
      </c>
      <c r="F582" s="149">
        <f>176.9*2</f>
        <v>353.8</v>
      </c>
      <c r="G582" s="124">
        <v>0.1</v>
      </c>
      <c r="H582" s="143">
        <f>F582*(1+G582)</f>
        <v>389.18000000000006</v>
      </c>
      <c r="I582" s="145" t="s">
        <v>15</v>
      </c>
      <c r="J582" s="37">
        <f>J$148</f>
        <v>0</v>
      </c>
      <c r="K582" s="159">
        <f>J582*H582</f>
        <v>0</v>
      </c>
      <c r="L582" s="160"/>
    </row>
    <row r="583" spans="1:12" s="21" customFormat="1" x14ac:dyDescent="0.2">
      <c r="A583" s="129">
        <f>IF(F583&lt;&gt;"",1+MAX($A$7:A582),"")</f>
        <v>209</v>
      </c>
      <c r="B583" s="140" t="s">
        <v>105</v>
      </c>
      <c r="C583" s="140" t="s">
        <v>104</v>
      </c>
      <c r="D583" s="149"/>
      <c r="E583" s="163" t="s">
        <v>349</v>
      </c>
      <c r="F583" s="149">
        <f>176.9*9</f>
        <v>1592.1000000000001</v>
      </c>
      <c r="G583" s="124">
        <v>0.1</v>
      </c>
      <c r="H583" s="143">
        <f>F583*(1+G583)</f>
        <v>1751.3100000000004</v>
      </c>
      <c r="I583" s="145" t="s">
        <v>18</v>
      </c>
      <c r="J583" s="37">
        <f>J$276</f>
        <v>0</v>
      </c>
      <c r="K583" s="159">
        <f>J583*H583</f>
        <v>0</v>
      </c>
      <c r="L583" s="160"/>
    </row>
    <row r="584" spans="1:12" s="21" customFormat="1" x14ac:dyDescent="0.2">
      <c r="A584" s="129">
        <f>IF(F584&lt;&gt;"",1+MAX($A$7:A583),"")</f>
        <v>210</v>
      </c>
      <c r="B584" s="140" t="s">
        <v>105</v>
      </c>
      <c r="C584" s="140" t="s">
        <v>104</v>
      </c>
      <c r="D584" s="149"/>
      <c r="E584" s="163" t="s">
        <v>116</v>
      </c>
      <c r="F584" s="149">
        <f>176.9*9</f>
        <v>1592.1000000000001</v>
      </c>
      <c r="G584" s="124">
        <v>0.1</v>
      </c>
      <c r="H584" s="143">
        <f>F584*(1+G584)</f>
        <v>1751.3100000000004</v>
      </c>
      <c r="I584" s="145" t="s">
        <v>18</v>
      </c>
      <c r="J584" s="37">
        <f>J$202</f>
        <v>0</v>
      </c>
      <c r="K584" s="159">
        <f>J584*H584</f>
        <v>0</v>
      </c>
      <c r="L584" s="160"/>
    </row>
    <row r="585" spans="1:12" s="21" customFormat="1" x14ac:dyDescent="0.2">
      <c r="A585" s="129" t="str">
        <f>IF(F585&lt;&gt;"",1+MAX($A$7:A584),"")</f>
        <v/>
      </c>
      <c r="B585" s="140"/>
      <c r="C585" s="140"/>
      <c r="D585" s="141"/>
      <c r="E585" s="163"/>
      <c r="F585" s="149"/>
      <c r="G585" s="124"/>
      <c r="H585" s="143"/>
      <c r="I585" s="145"/>
      <c r="J585" s="37"/>
      <c r="K585" s="159"/>
      <c r="L585" s="160"/>
    </row>
    <row r="586" spans="1:12" s="21" customFormat="1" x14ac:dyDescent="0.2">
      <c r="A586" s="129" t="str">
        <f>IF(F586&lt;&gt;"",1+MAX($A$7:A585),"")</f>
        <v/>
      </c>
      <c r="B586" s="140"/>
      <c r="C586" s="140"/>
      <c r="D586" s="141"/>
      <c r="E586" s="158" t="s">
        <v>194</v>
      </c>
      <c r="F586" s="149"/>
      <c r="G586" s="144"/>
      <c r="H586" s="143"/>
      <c r="I586" s="145"/>
      <c r="J586" s="37"/>
      <c r="K586" s="159"/>
      <c r="L586" s="160"/>
    </row>
    <row r="587" spans="1:12" s="21" customFormat="1" x14ac:dyDescent="0.2">
      <c r="A587" s="129">
        <f>IF(F587&lt;&gt;"",1+MAX($A$7:A586),"")</f>
        <v>211</v>
      </c>
      <c r="B587" s="140" t="s">
        <v>105</v>
      </c>
      <c r="C587" s="140" t="s">
        <v>104</v>
      </c>
      <c r="D587" s="149"/>
      <c r="E587" s="163" t="s">
        <v>100</v>
      </c>
      <c r="F587" s="149">
        <f>49.9*9</f>
        <v>449.09999999999997</v>
      </c>
      <c r="G587" s="124">
        <v>0.1</v>
      </c>
      <c r="H587" s="143">
        <f>F587*(1+G587)</f>
        <v>494.01</v>
      </c>
      <c r="I587" s="145" t="s">
        <v>18</v>
      </c>
      <c r="J587" s="37">
        <f>J$143</f>
        <v>0</v>
      </c>
      <c r="K587" s="159">
        <f>J587*H587</f>
        <v>0</v>
      </c>
      <c r="L587" s="160"/>
    </row>
    <row r="588" spans="1:12" s="21" customFormat="1" x14ac:dyDescent="0.2">
      <c r="A588" s="129" t="str">
        <f>IF(F588&lt;&gt;"",1+MAX($A$7:A587),"")</f>
        <v/>
      </c>
      <c r="B588" s="140"/>
      <c r="C588" s="140"/>
      <c r="D588" s="141"/>
      <c r="E588" s="165" t="s">
        <v>41</v>
      </c>
      <c r="F588" s="166"/>
      <c r="G588" s="167"/>
      <c r="H588" s="143">
        <f>ROUNDUP((H587)/32,0)</f>
        <v>16</v>
      </c>
      <c r="I588" s="145" t="s">
        <v>42</v>
      </c>
      <c r="J588" s="37"/>
      <c r="K588" s="159"/>
      <c r="L588" s="160"/>
    </row>
    <row r="589" spans="1:12" s="21" customFormat="1" x14ac:dyDescent="0.2">
      <c r="A589" s="129" t="str">
        <f>IF(F589&lt;&gt;"",1+MAX($A$7:A588),"")</f>
        <v/>
      </c>
      <c r="B589" s="140"/>
      <c r="C589" s="140"/>
      <c r="D589" s="141"/>
      <c r="E589" s="165" t="s">
        <v>43</v>
      </c>
      <c r="F589" s="166"/>
      <c r="G589" s="167"/>
      <c r="H589" s="143">
        <f>ROUNDUP(H588*24/500,0)</f>
        <v>1</v>
      </c>
      <c r="I589" s="145" t="s">
        <v>44</v>
      </c>
      <c r="J589" s="37"/>
      <c r="K589" s="159"/>
      <c r="L589" s="160"/>
    </row>
    <row r="590" spans="1:12" s="21" customFormat="1" x14ac:dyDescent="0.2">
      <c r="A590" s="129" t="str">
        <f>IF(F590&lt;&gt;"",1+MAX($A$7:A589),"")</f>
        <v/>
      </c>
      <c r="B590" s="140"/>
      <c r="C590" s="140"/>
      <c r="D590" s="141"/>
      <c r="E590" s="165" t="s">
        <v>45</v>
      </c>
      <c r="F590" s="166"/>
      <c r="G590" s="167"/>
      <c r="H590" s="168">
        <f>ROUNDUP((H587)/200,0)</f>
        <v>3</v>
      </c>
      <c r="I590" s="145" t="s">
        <v>46</v>
      </c>
      <c r="J590" s="37"/>
      <c r="K590" s="159"/>
      <c r="L590" s="160"/>
    </row>
    <row r="591" spans="1:12" s="21" customFormat="1" x14ac:dyDescent="0.2">
      <c r="A591" s="129" t="str">
        <f>IF(F591&lt;&gt;"",1+MAX($A$7:A590),"")</f>
        <v/>
      </c>
      <c r="B591" s="140"/>
      <c r="C591" s="140"/>
      <c r="D591" s="141"/>
      <c r="E591" s="165" t="s">
        <v>47</v>
      </c>
      <c r="F591" s="166"/>
      <c r="G591" s="167"/>
      <c r="H591" s="168">
        <f>ROUNDUP((H587)*5.25/1000,0)</f>
        <v>3</v>
      </c>
      <c r="I591" s="145" t="s">
        <v>48</v>
      </c>
      <c r="J591" s="37"/>
      <c r="K591" s="159"/>
      <c r="L591" s="160"/>
    </row>
    <row r="592" spans="1:12" s="21" customFormat="1" x14ac:dyDescent="0.2">
      <c r="A592" s="129">
        <f>IF(F592&lt;&gt;"",1+MAX($A$7:A591),"")</f>
        <v>212</v>
      </c>
      <c r="B592" s="140" t="s">
        <v>105</v>
      </c>
      <c r="C592" s="140" t="s">
        <v>104</v>
      </c>
      <c r="D592" s="149"/>
      <c r="E592" s="163" t="s">
        <v>101</v>
      </c>
      <c r="F592" s="149">
        <f>49.9*9</f>
        <v>449.09999999999997</v>
      </c>
      <c r="G592" s="124">
        <v>0.1</v>
      </c>
      <c r="H592" s="143">
        <f>F592*(1+G592)</f>
        <v>494.01</v>
      </c>
      <c r="I592" s="145" t="s">
        <v>18</v>
      </c>
      <c r="J592" s="37">
        <f>J$160</f>
        <v>0</v>
      </c>
      <c r="K592" s="159">
        <f>J592*H592</f>
        <v>0</v>
      </c>
      <c r="L592" s="160"/>
    </row>
    <row r="593" spans="1:12" s="21" customFormat="1" x14ac:dyDescent="0.2">
      <c r="A593" s="129" t="str">
        <f>IF(F593&lt;&gt;"",1+MAX($A$7:A592),"")</f>
        <v/>
      </c>
      <c r="B593" s="140"/>
      <c r="C593" s="140"/>
      <c r="D593" s="141"/>
      <c r="E593" s="165" t="s">
        <v>41</v>
      </c>
      <c r="F593" s="166"/>
      <c r="G593" s="167"/>
      <c r="H593" s="143">
        <f>ROUNDUP((H592)/32,0)</f>
        <v>16</v>
      </c>
      <c r="I593" s="145" t="s">
        <v>42</v>
      </c>
      <c r="J593" s="37"/>
      <c r="K593" s="159"/>
      <c r="L593" s="160"/>
    </row>
    <row r="594" spans="1:12" s="21" customFormat="1" x14ac:dyDescent="0.2">
      <c r="A594" s="129" t="str">
        <f>IF(F594&lt;&gt;"",1+MAX($A$7:A593),"")</f>
        <v/>
      </c>
      <c r="B594" s="140"/>
      <c r="C594" s="140"/>
      <c r="D594" s="141"/>
      <c r="E594" s="165" t="s">
        <v>43</v>
      </c>
      <c r="F594" s="166"/>
      <c r="G594" s="167"/>
      <c r="H594" s="143">
        <f>ROUNDUP(H593*24/500,0)</f>
        <v>1</v>
      </c>
      <c r="I594" s="145" t="s">
        <v>44</v>
      </c>
      <c r="J594" s="37"/>
      <c r="K594" s="159"/>
      <c r="L594" s="160"/>
    </row>
    <row r="595" spans="1:12" s="21" customFormat="1" x14ac:dyDescent="0.2">
      <c r="A595" s="129" t="str">
        <f>IF(F595&lt;&gt;"",1+MAX($A$7:A594),"")</f>
        <v/>
      </c>
      <c r="B595" s="140"/>
      <c r="C595" s="140"/>
      <c r="D595" s="141"/>
      <c r="E595" s="165" t="s">
        <v>45</v>
      </c>
      <c r="F595" s="166"/>
      <c r="G595" s="167"/>
      <c r="H595" s="168">
        <f>ROUNDUP((H592)/200,0)</f>
        <v>3</v>
      </c>
      <c r="I595" s="145" t="s">
        <v>46</v>
      </c>
      <c r="J595" s="37"/>
      <c r="K595" s="159"/>
      <c r="L595" s="160"/>
    </row>
    <row r="596" spans="1:12" s="21" customFormat="1" x14ac:dyDescent="0.2">
      <c r="A596" s="129" t="str">
        <f>IF(F596&lt;&gt;"",1+MAX($A$7:A595),"")</f>
        <v/>
      </c>
      <c r="B596" s="140"/>
      <c r="C596" s="140"/>
      <c r="D596" s="141"/>
      <c r="E596" s="165" t="s">
        <v>47</v>
      </c>
      <c r="F596" s="166"/>
      <c r="G596" s="167"/>
      <c r="H596" s="168">
        <f>ROUNDUP((H592)*5.25/1000,0)</f>
        <v>3</v>
      </c>
      <c r="I596" s="145" t="s">
        <v>48</v>
      </c>
      <c r="J596" s="37"/>
      <c r="K596" s="159"/>
      <c r="L596" s="160"/>
    </row>
    <row r="597" spans="1:12" s="21" customFormat="1" x14ac:dyDescent="0.2">
      <c r="A597" s="129">
        <f>IF(F597&lt;&gt;"",1+MAX($A$7:A596),"")</f>
        <v>213</v>
      </c>
      <c r="B597" s="140" t="s">
        <v>105</v>
      </c>
      <c r="C597" s="140" t="s">
        <v>104</v>
      </c>
      <c r="D597" s="141"/>
      <c r="E597" s="163" t="s">
        <v>102</v>
      </c>
      <c r="F597" s="149">
        <f>49.9*4</f>
        <v>199.6</v>
      </c>
      <c r="G597" s="124">
        <v>0.1</v>
      </c>
      <c r="H597" s="143">
        <f>F597*(1+G597)</f>
        <v>219.56</v>
      </c>
      <c r="I597" s="145" t="s">
        <v>15</v>
      </c>
      <c r="J597" s="37">
        <f>J$148</f>
        <v>0</v>
      </c>
      <c r="K597" s="159">
        <f>J597*H597</f>
        <v>0</v>
      </c>
      <c r="L597" s="160"/>
    </row>
    <row r="598" spans="1:12" s="21" customFormat="1" x14ac:dyDescent="0.2">
      <c r="A598" s="129">
        <f>IF(F598&lt;&gt;"",1+MAX($A$7:A597),"")</f>
        <v>214</v>
      </c>
      <c r="B598" s="140" t="s">
        <v>105</v>
      </c>
      <c r="C598" s="140" t="s">
        <v>104</v>
      </c>
      <c r="D598" s="149"/>
      <c r="E598" s="163" t="s">
        <v>112</v>
      </c>
      <c r="F598" s="149">
        <f t="shared" ref="F598:F599" si="76">49.9*9</f>
        <v>449.09999999999997</v>
      </c>
      <c r="G598" s="124">
        <v>0.1</v>
      </c>
      <c r="H598" s="143">
        <f>F598*(1+G598)</f>
        <v>494.01</v>
      </c>
      <c r="I598" s="145" t="s">
        <v>18</v>
      </c>
      <c r="J598" s="37">
        <f>J$226</f>
        <v>0</v>
      </c>
      <c r="K598" s="159">
        <f>J598*H598</f>
        <v>0</v>
      </c>
      <c r="L598" s="160"/>
    </row>
    <row r="599" spans="1:12" s="21" customFormat="1" x14ac:dyDescent="0.2">
      <c r="A599" s="129">
        <f>IF(F599&lt;&gt;"",1+MAX($A$7:A598),"")</f>
        <v>215</v>
      </c>
      <c r="B599" s="140" t="s">
        <v>105</v>
      </c>
      <c r="C599" s="140" t="s">
        <v>104</v>
      </c>
      <c r="D599" s="149"/>
      <c r="E599" s="163" t="s">
        <v>116</v>
      </c>
      <c r="F599" s="149">
        <f t="shared" si="76"/>
        <v>449.09999999999997</v>
      </c>
      <c r="G599" s="124">
        <v>0.1</v>
      </c>
      <c r="H599" s="143">
        <f>F599*(1+G599)</f>
        <v>494.01</v>
      </c>
      <c r="I599" s="145" t="s">
        <v>18</v>
      </c>
      <c r="J599" s="37">
        <f>J$202</f>
        <v>0</v>
      </c>
      <c r="K599" s="159">
        <f>J599*H599</f>
        <v>0</v>
      </c>
      <c r="L599" s="160"/>
    </row>
    <row r="600" spans="1:12" s="21" customFormat="1" x14ac:dyDescent="0.2">
      <c r="A600" s="129" t="str">
        <f>IF(F600&lt;&gt;"",1+MAX($A$7:A599),"")</f>
        <v/>
      </c>
      <c r="B600" s="140"/>
      <c r="C600" s="140"/>
      <c r="D600" s="141"/>
      <c r="E600" s="163"/>
      <c r="F600" s="149"/>
      <c r="G600" s="124"/>
      <c r="H600" s="143"/>
      <c r="I600" s="145"/>
      <c r="J600" s="37"/>
      <c r="K600" s="159"/>
      <c r="L600" s="160"/>
    </row>
    <row r="601" spans="1:12" s="21" customFormat="1" x14ac:dyDescent="0.2">
      <c r="A601" s="129" t="str">
        <f>IF(F601&lt;&gt;"",1+MAX($A$7:A600),"")</f>
        <v/>
      </c>
      <c r="B601" s="140"/>
      <c r="C601" s="140"/>
      <c r="D601" s="141"/>
      <c r="E601" s="158" t="s">
        <v>195</v>
      </c>
      <c r="F601" s="149"/>
      <c r="G601" s="144"/>
      <c r="H601" s="143"/>
      <c r="I601" s="145"/>
      <c r="J601" s="37"/>
      <c r="K601" s="159"/>
      <c r="L601" s="160"/>
    </row>
    <row r="602" spans="1:12" s="21" customFormat="1" ht="31.5" x14ac:dyDescent="0.2">
      <c r="A602" s="129">
        <f>IF(F602&lt;&gt;"",1+MAX($A$7:A601),"")</f>
        <v>216</v>
      </c>
      <c r="B602" s="140" t="s">
        <v>105</v>
      </c>
      <c r="C602" s="140" t="s">
        <v>104</v>
      </c>
      <c r="D602" s="149"/>
      <c r="E602" s="163" t="s">
        <v>197</v>
      </c>
      <c r="F602" s="149">
        <f>69.2*9*2</f>
        <v>1245.6000000000001</v>
      </c>
      <c r="G602" s="124">
        <v>0.1</v>
      </c>
      <c r="H602" s="143">
        <f>F602*(1+G602)</f>
        <v>1370.1600000000003</v>
      </c>
      <c r="I602" s="145" t="s">
        <v>18</v>
      </c>
      <c r="J602" s="37">
        <f>J$160</f>
        <v>0</v>
      </c>
      <c r="K602" s="159">
        <f>J602*H602</f>
        <v>0</v>
      </c>
      <c r="L602" s="160"/>
    </row>
    <row r="603" spans="1:12" s="21" customFormat="1" x14ac:dyDescent="0.2">
      <c r="A603" s="129" t="str">
        <f>IF(F603&lt;&gt;"",1+MAX($A$7:A602),"")</f>
        <v/>
      </c>
      <c r="B603" s="140"/>
      <c r="C603" s="140"/>
      <c r="D603" s="141"/>
      <c r="E603" s="165" t="s">
        <v>41</v>
      </c>
      <c r="F603" s="166"/>
      <c r="G603" s="167"/>
      <c r="H603" s="143">
        <f>ROUNDUP((H602)/32,0)</f>
        <v>43</v>
      </c>
      <c r="I603" s="145" t="s">
        <v>42</v>
      </c>
      <c r="J603" s="37"/>
      <c r="K603" s="159"/>
      <c r="L603" s="160"/>
    </row>
    <row r="604" spans="1:12" s="21" customFormat="1" x14ac:dyDescent="0.2">
      <c r="A604" s="129" t="str">
        <f>IF(F604&lt;&gt;"",1+MAX($A$7:A603),"")</f>
        <v/>
      </c>
      <c r="B604" s="140"/>
      <c r="C604" s="140"/>
      <c r="D604" s="141"/>
      <c r="E604" s="165" t="s">
        <v>43</v>
      </c>
      <c r="F604" s="166"/>
      <c r="G604" s="167"/>
      <c r="H604" s="143">
        <f>ROUNDUP(H603*24/500,0)</f>
        <v>3</v>
      </c>
      <c r="I604" s="145" t="s">
        <v>44</v>
      </c>
      <c r="J604" s="37"/>
      <c r="K604" s="159"/>
      <c r="L604" s="160"/>
    </row>
    <row r="605" spans="1:12" s="21" customFormat="1" x14ac:dyDescent="0.2">
      <c r="A605" s="129" t="str">
        <f>IF(F605&lt;&gt;"",1+MAX($A$7:A604),"")</f>
        <v/>
      </c>
      <c r="B605" s="140"/>
      <c r="C605" s="140"/>
      <c r="D605" s="141"/>
      <c r="E605" s="165" t="s">
        <v>45</v>
      </c>
      <c r="F605" s="166"/>
      <c r="G605" s="167"/>
      <c r="H605" s="168">
        <f>ROUNDUP((H602)/200,0)</f>
        <v>7</v>
      </c>
      <c r="I605" s="145" t="s">
        <v>46</v>
      </c>
      <c r="J605" s="37"/>
      <c r="K605" s="159"/>
      <c r="L605" s="160"/>
    </row>
    <row r="606" spans="1:12" s="21" customFormat="1" x14ac:dyDescent="0.2">
      <c r="A606" s="129" t="str">
        <f>IF(F606&lt;&gt;"",1+MAX($A$7:A605),"")</f>
        <v/>
      </c>
      <c r="B606" s="140"/>
      <c r="C606" s="140"/>
      <c r="D606" s="141"/>
      <c r="E606" s="165" t="s">
        <v>47</v>
      </c>
      <c r="F606" s="166"/>
      <c r="G606" s="167"/>
      <c r="H606" s="168">
        <f>ROUNDUP((H602)*5.25/1000,0)</f>
        <v>8</v>
      </c>
      <c r="I606" s="145" t="s">
        <v>48</v>
      </c>
      <c r="J606" s="37"/>
      <c r="K606" s="159"/>
      <c r="L606" s="160"/>
    </row>
    <row r="607" spans="1:12" s="21" customFormat="1" x14ac:dyDescent="0.2">
      <c r="A607" s="129">
        <f>IF(F607&lt;&gt;"",1+MAX($A$7:A606),"")</f>
        <v>217</v>
      </c>
      <c r="B607" s="140" t="s">
        <v>105</v>
      </c>
      <c r="C607" s="140" t="s">
        <v>104</v>
      </c>
      <c r="D607" s="141"/>
      <c r="E607" s="163" t="s">
        <v>102</v>
      </c>
      <c r="F607" s="149">
        <f>69.2*4</f>
        <v>276.8</v>
      </c>
      <c r="G607" s="124">
        <v>0.1</v>
      </c>
      <c r="H607" s="143">
        <f>F607*(1+G607)</f>
        <v>304.48</v>
      </c>
      <c r="I607" s="145" t="s">
        <v>15</v>
      </c>
      <c r="J607" s="37">
        <f>J$148</f>
        <v>0</v>
      </c>
      <c r="K607" s="159">
        <f>J607*H607</f>
        <v>0</v>
      </c>
      <c r="L607" s="160"/>
    </row>
    <row r="608" spans="1:12" s="21" customFormat="1" x14ac:dyDescent="0.2">
      <c r="A608" s="129">
        <f>IF(F608&lt;&gt;"",1+MAX($A$7:A607),"")</f>
        <v>218</v>
      </c>
      <c r="B608" s="140" t="s">
        <v>105</v>
      </c>
      <c r="C608" s="140" t="s">
        <v>104</v>
      </c>
      <c r="D608" s="149"/>
      <c r="E608" s="163" t="s">
        <v>112</v>
      </c>
      <c r="F608" s="149">
        <f>69.2*9</f>
        <v>622.80000000000007</v>
      </c>
      <c r="G608" s="124">
        <v>0.1</v>
      </c>
      <c r="H608" s="143">
        <f>F608*(1+G608)</f>
        <v>685.08000000000015</v>
      </c>
      <c r="I608" s="145" t="s">
        <v>18</v>
      </c>
      <c r="J608" s="37">
        <f>J$226</f>
        <v>0</v>
      </c>
      <c r="K608" s="159">
        <f>J608*H608</f>
        <v>0</v>
      </c>
      <c r="L608" s="160"/>
    </row>
    <row r="609" spans="1:12" s="21" customFormat="1" x14ac:dyDescent="0.2">
      <c r="A609" s="129">
        <f>IF(F609&lt;&gt;"",1+MAX($A$7:A608),"")</f>
        <v>219</v>
      </c>
      <c r="B609" s="140" t="s">
        <v>105</v>
      </c>
      <c r="C609" s="140" t="s">
        <v>104</v>
      </c>
      <c r="D609" s="149"/>
      <c r="E609" s="163" t="s">
        <v>116</v>
      </c>
      <c r="F609" s="149">
        <f>69.2*9</f>
        <v>622.80000000000007</v>
      </c>
      <c r="G609" s="124">
        <v>0.1</v>
      </c>
      <c r="H609" s="143">
        <f>F609*(1+G609)</f>
        <v>685.08000000000015</v>
      </c>
      <c r="I609" s="145" t="s">
        <v>18</v>
      </c>
      <c r="J609" s="37">
        <f>J$202</f>
        <v>0</v>
      </c>
      <c r="K609" s="159">
        <f>J609*H609</f>
        <v>0</v>
      </c>
      <c r="L609" s="160"/>
    </row>
    <row r="610" spans="1:12" s="21" customFormat="1" x14ac:dyDescent="0.2">
      <c r="A610" s="129" t="str">
        <f>IF(F610&lt;&gt;"",1+MAX($A$7:A609),"")</f>
        <v/>
      </c>
      <c r="B610" s="140"/>
      <c r="C610" s="140"/>
      <c r="D610" s="141"/>
      <c r="E610" s="163"/>
      <c r="F610" s="149"/>
      <c r="G610" s="124"/>
      <c r="H610" s="143"/>
      <c r="I610" s="145"/>
      <c r="J610" s="37"/>
      <c r="K610" s="159"/>
      <c r="L610" s="160"/>
    </row>
    <row r="611" spans="1:12" s="21" customFormat="1" x14ac:dyDescent="0.2">
      <c r="A611" s="129" t="str">
        <f>IF(F611&lt;&gt;"",1+MAX($A$7:A610),"")</f>
        <v/>
      </c>
      <c r="B611" s="140"/>
      <c r="C611" s="140"/>
      <c r="D611" s="141"/>
      <c r="E611" s="158" t="s">
        <v>118</v>
      </c>
      <c r="F611" s="149"/>
      <c r="G611" s="144"/>
      <c r="H611" s="143"/>
      <c r="I611" s="145"/>
      <c r="J611" s="37"/>
      <c r="K611" s="159"/>
      <c r="L611" s="160"/>
    </row>
    <row r="612" spans="1:12" s="21" customFormat="1" ht="31.5" x14ac:dyDescent="0.2">
      <c r="A612" s="129">
        <f>IF(F612&lt;&gt;"",1+MAX($A$7:A611),"")</f>
        <v>220</v>
      </c>
      <c r="B612" s="140" t="s">
        <v>105</v>
      </c>
      <c r="C612" s="140" t="s">
        <v>104</v>
      </c>
      <c r="D612" s="149"/>
      <c r="E612" s="163" t="s">
        <v>198</v>
      </c>
      <c r="F612" s="149">
        <f>5.4*9</f>
        <v>48.6</v>
      </c>
      <c r="G612" s="124">
        <v>0.1</v>
      </c>
      <c r="H612" s="143">
        <f>F612*(1+G612)</f>
        <v>53.460000000000008</v>
      </c>
      <c r="I612" s="145" t="s">
        <v>18</v>
      </c>
      <c r="J612" s="37">
        <f>J$160</f>
        <v>0</v>
      </c>
      <c r="K612" s="159">
        <f>J612*H612</f>
        <v>0</v>
      </c>
      <c r="L612" s="160"/>
    </row>
    <row r="613" spans="1:12" s="21" customFormat="1" x14ac:dyDescent="0.2">
      <c r="A613" s="129" t="str">
        <f>IF(F613&lt;&gt;"",1+MAX($A$7:A612),"")</f>
        <v/>
      </c>
      <c r="B613" s="140"/>
      <c r="C613" s="140"/>
      <c r="D613" s="141"/>
      <c r="E613" s="165" t="s">
        <v>41</v>
      </c>
      <c r="F613" s="166"/>
      <c r="G613" s="167"/>
      <c r="H613" s="143">
        <f>ROUNDUP((H612)/32,0)</f>
        <v>2</v>
      </c>
      <c r="I613" s="145" t="s">
        <v>42</v>
      </c>
      <c r="J613" s="37"/>
      <c r="K613" s="159"/>
      <c r="L613" s="160"/>
    </row>
    <row r="614" spans="1:12" s="21" customFormat="1" x14ac:dyDescent="0.2">
      <c r="A614" s="129" t="str">
        <f>IF(F614&lt;&gt;"",1+MAX($A$7:A613),"")</f>
        <v/>
      </c>
      <c r="B614" s="140"/>
      <c r="C614" s="140"/>
      <c r="D614" s="141"/>
      <c r="E614" s="165" t="s">
        <v>43</v>
      </c>
      <c r="F614" s="166"/>
      <c r="G614" s="167"/>
      <c r="H614" s="143">
        <f>ROUNDUP(H613*24/500,0)</f>
        <v>1</v>
      </c>
      <c r="I614" s="145" t="s">
        <v>44</v>
      </c>
      <c r="J614" s="37"/>
      <c r="K614" s="159"/>
      <c r="L614" s="160"/>
    </row>
    <row r="615" spans="1:12" s="21" customFormat="1" x14ac:dyDescent="0.2">
      <c r="A615" s="129" t="str">
        <f>IF(F615&lt;&gt;"",1+MAX($A$7:A614),"")</f>
        <v/>
      </c>
      <c r="B615" s="140"/>
      <c r="C615" s="140"/>
      <c r="D615" s="141"/>
      <c r="E615" s="165" t="s">
        <v>45</v>
      </c>
      <c r="F615" s="166"/>
      <c r="G615" s="167"/>
      <c r="H615" s="168">
        <f>ROUNDUP((H612)/200,0)</f>
        <v>1</v>
      </c>
      <c r="I615" s="145" t="s">
        <v>46</v>
      </c>
      <c r="J615" s="37"/>
      <c r="K615" s="159"/>
      <c r="L615" s="160"/>
    </row>
    <row r="616" spans="1:12" s="21" customFormat="1" x14ac:dyDescent="0.2">
      <c r="A616" s="129" t="str">
        <f>IF(F616&lt;&gt;"",1+MAX($A$7:A615),"")</f>
        <v/>
      </c>
      <c r="B616" s="140"/>
      <c r="C616" s="140"/>
      <c r="D616" s="141"/>
      <c r="E616" s="165" t="s">
        <v>47</v>
      </c>
      <c r="F616" s="166"/>
      <c r="G616" s="167"/>
      <c r="H616" s="168">
        <f>ROUNDUP((H612)*5.25/1000,0)</f>
        <v>1</v>
      </c>
      <c r="I616" s="145" t="s">
        <v>48</v>
      </c>
      <c r="J616" s="37"/>
      <c r="K616" s="159"/>
      <c r="L616" s="160"/>
    </row>
    <row r="617" spans="1:12" s="21" customFormat="1" x14ac:dyDescent="0.2">
      <c r="A617" s="129">
        <f>IF(F617&lt;&gt;"",1+MAX($A$7:A616),"")</f>
        <v>221</v>
      </c>
      <c r="B617" s="140" t="s">
        <v>105</v>
      </c>
      <c r="C617" s="140" t="s">
        <v>104</v>
      </c>
      <c r="D617" s="141"/>
      <c r="E617" s="163" t="s">
        <v>102</v>
      </c>
      <c r="F617" s="149">
        <f>5.4*2</f>
        <v>10.8</v>
      </c>
      <c r="G617" s="124">
        <v>0.1</v>
      </c>
      <c r="H617" s="143">
        <f>F617*(1+G617)</f>
        <v>11.880000000000003</v>
      </c>
      <c r="I617" s="145" t="s">
        <v>15</v>
      </c>
      <c r="J617" s="37">
        <f>J$148</f>
        <v>0</v>
      </c>
      <c r="K617" s="159">
        <f>J617*H617</f>
        <v>0</v>
      </c>
      <c r="L617" s="160"/>
    </row>
    <row r="618" spans="1:12" s="21" customFormat="1" x14ac:dyDescent="0.2">
      <c r="A618" s="129">
        <f>IF(F618&lt;&gt;"",1+MAX($A$7:A617),"")</f>
        <v>222</v>
      </c>
      <c r="B618" s="140" t="s">
        <v>105</v>
      </c>
      <c r="C618" s="140" t="s">
        <v>104</v>
      </c>
      <c r="D618" s="149"/>
      <c r="E618" s="163" t="s">
        <v>119</v>
      </c>
      <c r="F618" s="149">
        <f>5.4*9</f>
        <v>48.6</v>
      </c>
      <c r="G618" s="124">
        <v>0.1</v>
      </c>
      <c r="H618" s="143">
        <f>F618*(1+G618)</f>
        <v>53.460000000000008</v>
      </c>
      <c r="I618" s="145" t="s">
        <v>18</v>
      </c>
      <c r="J618" s="127">
        <v>0</v>
      </c>
      <c r="K618" s="159">
        <f>J618*H618</f>
        <v>0</v>
      </c>
      <c r="L618" s="160"/>
    </row>
    <row r="619" spans="1:12" s="21" customFormat="1" x14ac:dyDescent="0.2">
      <c r="A619" s="129">
        <f>IF(F619&lt;&gt;"",1+MAX($A$7:A618),"")</f>
        <v>223</v>
      </c>
      <c r="B619" s="140" t="s">
        <v>105</v>
      </c>
      <c r="C619" s="140" t="s">
        <v>104</v>
      </c>
      <c r="D619" s="149"/>
      <c r="E619" s="163" t="s">
        <v>116</v>
      </c>
      <c r="F619" s="149">
        <f>5.4*9</f>
        <v>48.6</v>
      </c>
      <c r="G619" s="124">
        <v>0.1</v>
      </c>
      <c r="H619" s="143">
        <f>F619*(1+G619)</f>
        <v>53.460000000000008</v>
      </c>
      <c r="I619" s="145" t="s">
        <v>18</v>
      </c>
      <c r="J619" s="37">
        <f>J$202</f>
        <v>0</v>
      </c>
      <c r="K619" s="159">
        <f>J619*H619</f>
        <v>0</v>
      </c>
      <c r="L619" s="160"/>
    </row>
    <row r="620" spans="1:12" s="21" customFormat="1" x14ac:dyDescent="0.2">
      <c r="A620" s="129" t="str">
        <f>IF(F620&lt;&gt;"",1+MAX($A$7:A619),"")</f>
        <v/>
      </c>
      <c r="B620" s="140"/>
      <c r="C620" s="140"/>
      <c r="D620" s="141"/>
      <c r="E620" s="163"/>
      <c r="F620" s="149"/>
      <c r="G620" s="124"/>
      <c r="H620" s="143"/>
      <c r="I620" s="145"/>
      <c r="J620" s="37"/>
      <c r="K620" s="159"/>
      <c r="L620" s="160"/>
    </row>
    <row r="621" spans="1:12" s="21" customFormat="1" x14ac:dyDescent="0.2">
      <c r="A621" s="129" t="str">
        <f>IF(F621&lt;&gt;"",1+MAX($A$7:A620),"")</f>
        <v/>
      </c>
      <c r="B621" s="140"/>
      <c r="C621" s="140"/>
      <c r="D621" s="141"/>
      <c r="E621" s="158" t="s">
        <v>120</v>
      </c>
      <c r="F621" s="149"/>
      <c r="G621" s="144"/>
      <c r="H621" s="143"/>
      <c r="I621" s="145"/>
      <c r="J621" s="37"/>
      <c r="K621" s="159"/>
      <c r="L621" s="160"/>
    </row>
    <row r="622" spans="1:12" s="21" customFormat="1" x14ac:dyDescent="0.2">
      <c r="A622" s="129">
        <f>IF(F622&lt;&gt;"",1+MAX($A$7:A621),"")</f>
        <v>224</v>
      </c>
      <c r="B622" s="140" t="s">
        <v>105</v>
      </c>
      <c r="C622" s="140" t="s">
        <v>104</v>
      </c>
      <c r="D622" s="149"/>
      <c r="E622" s="163" t="s">
        <v>100</v>
      </c>
      <c r="F622" s="149">
        <f>49.2*9*2</f>
        <v>885.6</v>
      </c>
      <c r="G622" s="124">
        <v>0.1</v>
      </c>
      <c r="H622" s="143">
        <f>F622*(1+G622)</f>
        <v>974.16000000000008</v>
      </c>
      <c r="I622" s="145" t="s">
        <v>18</v>
      </c>
      <c r="J622" s="37">
        <f>J$143</f>
        <v>0</v>
      </c>
      <c r="K622" s="159">
        <f>J622*H622</f>
        <v>0</v>
      </c>
      <c r="L622" s="160"/>
    </row>
    <row r="623" spans="1:12" s="21" customFormat="1" x14ac:dyDescent="0.2">
      <c r="A623" s="129" t="str">
        <f>IF(F623&lt;&gt;"",1+MAX($A$7:A622),"")</f>
        <v/>
      </c>
      <c r="B623" s="140"/>
      <c r="C623" s="140"/>
      <c r="D623" s="141"/>
      <c r="E623" s="165" t="s">
        <v>41</v>
      </c>
      <c r="F623" s="166"/>
      <c r="G623" s="167"/>
      <c r="H623" s="143">
        <f>ROUNDUP((H622)/32,0)</f>
        <v>31</v>
      </c>
      <c r="I623" s="145" t="s">
        <v>42</v>
      </c>
      <c r="J623" s="37"/>
      <c r="K623" s="159"/>
      <c r="L623" s="160"/>
    </row>
    <row r="624" spans="1:12" s="21" customFormat="1" x14ac:dyDescent="0.2">
      <c r="A624" s="129" t="str">
        <f>IF(F624&lt;&gt;"",1+MAX($A$7:A623),"")</f>
        <v/>
      </c>
      <c r="B624" s="140"/>
      <c r="C624" s="140"/>
      <c r="D624" s="141"/>
      <c r="E624" s="165" t="s">
        <v>43</v>
      </c>
      <c r="F624" s="166"/>
      <c r="G624" s="167"/>
      <c r="H624" s="143">
        <f>ROUNDUP(H623*24/500,0)</f>
        <v>2</v>
      </c>
      <c r="I624" s="145" t="s">
        <v>44</v>
      </c>
      <c r="J624" s="37"/>
      <c r="K624" s="159"/>
      <c r="L624" s="160"/>
    </row>
    <row r="625" spans="1:12" s="21" customFormat="1" x14ac:dyDescent="0.2">
      <c r="A625" s="129" t="str">
        <f>IF(F625&lt;&gt;"",1+MAX($A$7:A624),"")</f>
        <v/>
      </c>
      <c r="B625" s="140"/>
      <c r="C625" s="140"/>
      <c r="D625" s="141"/>
      <c r="E625" s="165" t="s">
        <v>45</v>
      </c>
      <c r="F625" s="166"/>
      <c r="G625" s="167"/>
      <c r="H625" s="168">
        <f>ROUNDUP((H622)/200,0)</f>
        <v>5</v>
      </c>
      <c r="I625" s="145" t="s">
        <v>46</v>
      </c>
      <c r="J625" s="37"/>
      <c r="K625" s="159"/>
      <c r="L625" s="160"/>
    </row>
    <row r="626" spans="1:12" s="21" customFormat="1" x14ac:dyDescent="0.2">
      <c r="A626" s="129" t="str">
        <f>IF(F626&lt;&gt;"",1+MAX($A$7:A625),"")</f>
        <v/>
      </c>
      <c r="B626" s="140"/>
      <c r="C626" s="140"/>
      <c r="D626" s="141"/>
      <c r="E626" s="165" t="s">
        <v>47</v>
      </c>
      <c r="F626" s="166"/>
      <c r="G626" s="167"/>
      <c r="H626" s="168">
        <f>ROUNDUP((H622)*5.25/1000,0)</f>
        <v>6</v>
      </c>
      <c r="I626" s="145" t="s">
        <v>48</v>
      </c>
      <c r="J626" s="37"/>
      <c r="K626" s="159"/>
      <c r="L626" s="160"/>
    </row>
    <row r="627" spans="1:12" s="21" customFormat="1" x14ac:dyDescent="0.2">
      <c r="A627" s="129">
        <f>IF(F627&lt;&gt;"",1+MAX($A$7:A626),"")</f>
        <v>225</v>
      </c>
      <c r="B627" s="140" t="s">
        <v>105</v>
      </c>
      <c r="C627" s="140" t="s">
        <v>104</v>
      </c>
      <c r="D627" s="141"/>
      <c r="E627" s="163" t="s">
        <v>102</v>
      </c>
      <c r="F627" s="149">
        <f>49.2*4</f>
        <v>196.8</v>
      </c>
      <c r="G627" s="124">
        <v>0.1</v>
      </c>
      <c r="H627" s="143">
        <f>F627*(1+G627)</f>
        <v>216.48000000000002</v>
      </c>
      <c r="I627" s="145" t="s">
        <v>15</v>
      </c>
      <c r="J627" s="37">
        <f>J$148</f>
        <v>0</v>
      </c>
      <c r="K627" s="159">
        <f>J627*H627</f>
        <v>0</v>
      </c>
      <c r="L627" s="160"/>
    </row>
    <row r="628" spans="1:12" s="21" customFormat="1" x14ac:dyDescent="0.2">
      <c r="A628" s="129">
        <f>IF(F628&lt;&gt;"",1+MAX($A$7:A627),"")</f>
        <v>226</v>
      </c>
      <c r="B628" s="140" t="s">
        <v>105</v>
      </c>
      <c r="C628" s="140" t="s">
        <v>104</v>
      </c>
      <c r="D628" s="149"/>
      <c r="E628" s="163" t="s">
        <v>109</v>
      </c>
      <c r="F628" s="149">
        <f>49.2*9</f>
        <v>442.8</v>
      </c>
      <c r="G628" s="124">
        <v>0.1</v>
      </c>
      <c r="H628" s="143">
        <f>F628*(1+G628)</f>
        <v>487.08000000000004</v>
      </c>
      <c r="I628" s="145" t="s">
        <v>18</v>
      </c>
      <c r="J628" s="37">
        <f>J$251</f>
        <v>0</v>
      </c>
      <c r="K628" s="159">
        <f>J628*H628</f>
        <v>0</v>
      </c>
      <c r="L628" s="160"/>
    </row>
    <row r="629" spans="1:12" s="21" customFormat="1" x14ac:dyDescent="0.2">
      <c r="A629" s="129">
        <f>IF(F629&lt;&gt;"",1+MAX($A$7:A628),"")</f>
        <v>227</v>
      </c>
      <c r="B629" s="140" t="s">
        <v>105</v>
      </c>
      <c r="C629" s="140" t="s">
        <v>104</v>
      </c>
      <c r="D629" s="149"/>
      <c r="E629" s="163" t="s">
        <v>116</v>
      </c>
      <c r="F629" s="149">
        <f>49.2*9</f>
        <v>442.8</v>
      </c>
      <c r="G629" s="124">
        <v>0.1</v>
      </c>
      <c r="H629" s="143">
        <f>F629*(1+G629)</f>
        <v>487.08000000000004</v>
      </c>
      <c r="I629" s="145" t="s">
        <v>18</v>
      </c>
      <c r="J629" s="37">
        <f>J$202</f>
        <v>0</v>
      </c>
      <c r="K629" s="159">
        <f>J629*H629</f>
        <v>0</v>
      </c>
      <c r="L629" s="160"/>
    </row>
    <row r="630" spans="1:12" s="21" customFormat="1" x14ac:dyDescent="0.2">
      <c r="A630" s="129" t="str">
        <f>IF(F630&lt;&gt;"",1+MAX($A$7:A629),"")</f>
        <v/>
      </c>
      <c r="B630" s="140"/>
      <c r="C630" s="140"/>
      <c r="D630" s="141"/>
      <c r="E630" s="163"/>
      <c r="F630" s="149"/>
      <c r="G630" s="124"/>
      <c r="H630" s="143"/>
      <c r="I630" s="145"/>
      <c r="J630" s="37"/>
      <c r="K630" s="159"/>
      <c r="L630" s="160"/>
    </row>
    <row r="631" spans="1:12" s="21" customFormat="1" x14ac:dyDescent="0.2">
      <c r="A631" s="129" t="str">
        <f>IF(F631&lt;&gt;"",1+MAX($A$7:A630),"")</f>
        <v/>
      </c>
      <c r="B631" s="140"/>
      <c r="C631" s="140"/>
      <c r="D631" s="141"/>
      <c r="E631" s="158" t="s">
        <v>121</v>
      </c>
      <c r="F631" s="149"/>
      <c r="G631" s="144"/>
      <c r="H631" s="143"/>
      <c r="I631" s="145"/>
      <c r="J631" s="37"/>
      <c r="K631" s="159"/>
      <c r="L631" s="160"/>
    </row>
    <row r="632" spans="1:12" s="21" customFormat="1" x14ac:dyDescent="0.2">
      <c r="A632" s="129">
        <f>IF(F632&lt;&gt;"",1+MAX($A$7:A631),"")</f>
        <v>228</v>
      </c>
      <c r="B632" s="140" t="s">
        <v>105</v>
      </c>
      <c r="C632" s="140" t="s">
        <v>104</v>
      </c>
      <c r="D632" s="149"/>
      <c r="E632" s="163" t="s">
        <v>115</v>
      </c>
      <c r="F632" s="149">
        <f>37.2*9</f>
        <v>334.8</v>
      </c>
      <c r="G632" s="124">
        <v>0.1</v>
      </c>
      <c r="H632" s="143">
        <f>F632*(1+G632)</f>
        <v>368.28000000000003</v>
      </c>
      <c r="I632" s="145" t="s">
        <v>18</v>
      </c>
      <c r="J632" s="37">
        <f>J$143</f>
        <v>0</v>
      </c>
      <c r="K632" s="159">
        <f>J632*H632</f>
        <v>0</v>
      </c>
      <c r="L632" s="160"/>
    </row>
    <row r="633" spans="1:12" s="21" customFormat="1" x14ac:dyDescent="0.2">
      <c r="A633" s="129" t="str">
        <f>IF(F633&lt;&gt;"",1+MAX($A$7:A632),"")</f>
        <v/>
      </c>
      <c r="B633" s="140"/>
      <c r="C633" s="140"/>
      <c r="D633" s="141"/>
      <c r="E633" s="165" t="s">
        <v>41</v>
      </c>
      <c r="F633" s="166"/>
      <c r="G633" s="167"/>
      <c r="H633" s="143">
        <f>ROUNDUP((H632)/32,0)</f>
        <v>12</v>
      </c>
      <c r="I633" s="145" t="s">
        <v>42</v>
      </c>
      <c r="J633" s="37"/>
      <c r="K633" s="159"/>
      <c r="L633" s="160"/>
    </row>
    <row r="634" spans="1:12" s="21" customFormat="1" x14ac:dyDescent="0.2">
      <c r="A634" s="129" t="str">
        <f>IF(F634&lt;&gt;"",1+MAX($A$7:A633),"")</f>
        <v/>
      </c>
      <c r="B634" s="140"/>
      <c r="C634" s="140"/>
      <c r="D634" s="141"/>
      <c r="E634" s="165" t="s">
        <v>43</v>
      </c>
      <c r="F634" s="166"/>
      <c r="G634" s="167"/>
      <c r="H634" s="143">
        <f>ROUNDUP(H633*24/500,0)</f>
        <v>1</v>
      </c>
      <c r="I634" s="145" t="s">
        <v>44</v>
      </c>
      <c r="J634" s="37"/>
      <c r="K634" s="159"/>
      <c r="L634" s="160"/>
    </row>
    <row r="635" spans="1:12" s="21" customFormat="1" x14ac:dyDescent="0.2">
      <c r="A635" s="129" t="str">
        <f>IF(F635&lt;&gt;"",1+MAX($A$7:A634),"")</f>
        <v/>
      </c>
      <c r="B635" s="140"/>
      <c r="C635" s="140"/>
      <c r="D635" s="141"/>
      <c r="E635" s="165" t="s">
        <v>45</v>
      </c>
      <c r="F635" s="166"/>
      <c r="G635" s="167"/>
      <c r="H635" s="168">
        <f>ROUNDUP((H632)/200,0)</f>
        <v>2</v>
      </c>
      <c r="I635" s="145" t="s">
        <v>46</v>
      </c>
      <c r="J635" s="37"/>
      <c r="K635" s="159"/>
      <c r="L635" s="160"/>
    </row>
    <row r="636" spans="1:12" s="21" customFormat="1" x14ac:dyDescent="0.2">
      <c r="A636" s="129" t="str">
        <f>IF(F636&lt;&gt;"",1+MAX($A$7:A635),"")</f>
        <v/>
      </c>
      <c r="B636" s="140"/>
      <c r="C636" s="140"/>
      <c r="D636" s="141"/>
      <c r="E636" s="165" t="s">
        <v>47</v>
      </c>
      <c r="F636" s="166"/>
      <c r="G636" s="167"/>
      <c r="H636" s="168">
        <f>ROUNDUP((H632)*5.25/1000,0)</f>
        <v>2</v>
      </c>
      <c r="I636" s="145" t="s">
        <v>48</v>
      </c>
      <c r="J636" s="37"/>
      <c r="K636" s="159"/>
      <c r="L636" s="160"/>
    </row>
    <row r="637" spans="1:12" s="21" customFormat="1" x14ac:dyDescent="0.2">
      <c r="A637" s="129">
        <f>IF(F637&lt;&gt;"",1+MAX($A$7:A636),"")</f>
        <v>229</v>
      </c>
      <c r="B637" s="140" t="s">
        <v>105</v>
      </c>
      <c r="C637" s="140" t="s">
        <v>104</v>
      </c>
      <c r="D637" s="149"/>
      <c r="E637" s="163" t="s">
        <v>101</v>
      </c>
      <c r="F637" s="149">
        <f>10.5*9</f>
        <v>94.5</v>
      </c>
      <c r="G637" s="124">
        <v>0.1</v>
      </c>
      <c r="H637" s="143">
        <f>F637*(1+G637)</f>
        <v>103.95</v>
      </c>
      <c r="I637" s="145" t="s">
        <v>18</v>
      </c>
      <c r="J637" s="37">
        <f>J$160</f>
        <v>0</v>
      </c>
      <c r="K637" s="159">
        <f>J637*H637</f>
        <v>0</v>
      </c>
      <c r="L637" s="160"/>
    </row>
    <row r="638" spans="1:12" s="21" customFormat="1" x14ac:dyDescent="0.2">
      <c r="A638" s="129" t="str">
        <f>IF(F638&lt;&gt;"",1+MAX($A$7:A637),"")</f>
        <v/>
      </c>
      <c r="B638" s="140"/>
      <c r="C638" s="140"/>
      <c r="D638" s="141"/>
      <c r="E638" s="165" t="s">
        <v>41</v>
      </c>
      <c r="F638" s="166"/>
      <c r="G638" s="167"/>
      <c r="H638" s="143">
        <f>ROUNDUP((H637)/32,0)</f>
        <v>4</v>
      </c>
      <c r="I638" s="145" t="s">
        <v>42</v>
      </c>
      <c r="J638" s="37"/>
      <c r="K638" s="159"/>
      <c r="L638" s="160"/>
    </row>
    <row r="639" spans="1:12" s="21" customFormat="1" x14ac:dyDescent="0.2">
      <c r="A639" s="129" t="str">
        <f>IF(F639&lt;&gt;"",1+MAX($A$7:A638),"")</f>
        <v/>
      </c>
      <c r="B639" s="140"/>
      <c r="C639" s="140"/>
      <c r="D639" s="141"/>
      <c r="E639" s="165" t="s">
        <v>43</v>
      </c>
      <c r="F639" s="166"/>
      <c r="G639" s="167"/>
      <c r="H639" s="143">
        <f>ROUNDUP(H638*24/500,0)</f>
        <v>1</v>
      </c>
      <c r="I639" s="145" t="s">
        <v>44</v>
      </c>
      <c r="J639" s="37"/>
      <c r="K639" s="159"/>
      <c r="L639" s="160"/>
    </row>
    <row r="640" spans="1:12" s="21" customFormat="1" x14ac:dyDescent="0.2">
      <c r="A640" s="129" t="str">
        <f>IF(F640&lt;&gt;"",1+MAX($A$7:A639),"")</f>
        <v/>
      </c>
      <c r="B640" s="140"/>
      <c r="C640" s="140"/>
      <c r="D640" s="141"/>
      <c r="E640" s="165" t="s">
        <v>45</v>
      </c>
      <c r="F640" s="166"/>
      <c r="G640" s="167"/>
      <c r="H640" s="168">
        <f>ROUNDUP((H637)/200,0)</f>
        <v>1</v>
      </c>
      <c r="I640" s="145" t="s">
        <v>46</v>
      </c>
      <c r="J640" s="37"/>
      <c r="K640" s="159"/>
      <c r="L640" s="160"/>
    </row>
    <row r="641" spans="1:12" s="21" customFormat="1" x14ac:dyDescent="0.2">
      <c r="A641" s="129" t="str">
        <f>IF(F641&lt;&gt;"",1+MAX($A$7:A640),"")</f>
        <v/>
      </c>
      <c r="B641" s="140"/>
      <c r="C641" s="140"/>
      <c r="D641" s="141"/>
      <c r="E641" s="165" t="s">
        <v>47</v>
      </c>
      <c r="F641" s="166"/>
      <c r="G641" s="167"/>
      <c r="H641" s="168">
        <f>ROUNDUP((H637)*5.25/1000,0)</f>
        <v>1</v>
      </c>
      <c r="I641" s="145" t="s">
        <v>48</v>
      </c>
      <c r="J641" s="37"/>
      <c r="K641" s="159"/>
      <c r="L641" s="160"/>
    </row>
    <row r="642" spans="1:12" s="21" customFormat="1" x14ac:dyDescent="0.2">
      <c r="A642" s="129">
        <f>IF(F642&lt;&gt;"",1+MAX($A$7:A641),"")</f>
        <v>230</v>
      </c>
      <c r="B642" s="140" t="s">
        <v>105</v>
      </c>
      <c r="C642" s="140" t="s">
        <v>104</v>
      </c>
      <c r="D642" s="141"/>
      <c r="E642" s="163" t="s">
        <v>102</v>
      </c>
      <c r="F642" s="149">
        <f>47.7*2</f>
        <v>95.4</v>
      </c>
      <c r="G642" s="124">
        <v>0.1</v>
      </c>
      <c r="H642" s="143">
        <f>F642*(1+G642)</f>
        <v>104.94000000000001</v>
      </c>
      <c r="I642" s="145" t="s">
        <v>15</v>
      </c>
      <c r="J642" s="37">
        <f>J$148</f>
        <v>0</v>
      </c>
      <c r="K642" s="159">
        <f>J642*H642</f>
        <v>0</v>
      </c>
      <c r="L642" s="160"/>
    </row>
    <row r="643" spans="1:12" s="21" customFormat="1" x14ac:dyDescent="0.2">
      <c r="A643" s="129">
        <f>IF(F643&lt;&gt;"",1+MAX($A$7:A642),"")</f>
        <v>231</v>
      </c>
      <c r="B643" s="140" t="s">
        <v>105</v>
      </c>
      <c r="C643" s="140" t="s">
        <v>104</v>
      </c>
      <c r="D643" s="149"/>
      <c r="E643" s="163" t="s">
        <v>111</v>
      </c>
      <c r="F643" s="149">
        <f>47.7*9</f>
        <v>429.3</v>
      </c>
      <c r="G643" s="124">
        <v>0.1</v>
      </c>
      <c r="H643" s="143">
        <f>F643*(1+G643)</f>
        <v>472.23000000000008</v>
      </c>
      <c r="I643" s="145" t="s">
        <v>18</v>
      </c>
      <c r="J643" s="37">
        <f>J$187</f>
        <v>0</v>
      </c>
      <c r="K643" s="159">
        <f>J643*H643</f>
        <v>0</v>
      </c>
      <c r="L643" s="160"/>
    </row>
    <row r="644" spans="1:12" s="21" customFormat="1" x14ac:dyDescent="0.2">
      <c r="A644" s="129">
        <f>IF(F644&lt;&gt;"",1+MAX($A$7:A643),"")</f>
        <v>232</v>
      </c>
      <c r="B644" s="140" t="s">
        <v>105</v>
      </c>
      <c r="C644" s="140" t="s">
        <v>104</v>
      </c>
      <c r="D644" s="149"/>
      <c r="E644" s="163" t="s">
        <v>116</v>
      </c>
      <c r="F644" s="149">
        <f>47.7*9</f>
        <v>429.3</v>
      </c>
      <c r="G644" s="124">
        <v>0.1</v>
      </c>
      <c r="H644" s="143">
        <f>F644*(1+G644)</f>
        <v>472.23000000000008</v>
      </c>
      <c r="I644" s="145" t="s">
        <v>18</v>
      </c>
      <c r="J644" s="37">
        <f>J$202</f>
        <v>0</v>
      </c>
      <c r="K644" s="159">
        <f>J644*H644</f>
        <v>0</v>
      </c>
      <c r="L644" s="160"/>
    </row>
    <row r="645" spans="1:12" s="21" customFormat="1" x14ac:dyDescent="0.2">
      <c r="A645" s="129" t="str">
        <f>IF(F645&lt;&gt;"",1+MAX($A$7:A644),"")</f>
        <v/>
      </c>
      <c r="B645" s="140"/>
      <c r="C645" s="140"/>
      <c r="D645" s="141"/>
      <c r="E645" s="163"/>
      <c r="F645" s="149"/>
      <c r="G645" s="124"/>
      <c r="H645" s="143"/>
      <c r="I645" s="145"/>
      <c r="J645" s="37"/>
      <c r="K645" s="159"/>
      <c r="L645" s="160"/>
    </row>
    <row r="646" spans="1:12" s="21" customFormat="1" x14ac:dyDescent="0.2">
      <c r="A646" s="129" t="str">
        <f>IF(F646&lt;&gt;"",1+MAX($A$7:A645),"")</f>
        <v/>
      </c>
      <c r="B646" s="140"/>
      <c r="C646" s="140"/>
      <c r="D646" s="141"/>
      <c r="E646" s="158" t="s">
        <v>122</v>
      </c>
      <c r="F646" s="149"/>
      <c r="G646" s="144"/>
      <c r="H646" s="143"/>
      <c r="I646" s="145"/>
      <c r="J646" s="37"/>
      <c r="K646" s="159"/>
      <c r="L646" s="160"/>
    </row>
    <row r="647" spans="1:12" s="21" customFormat="1" x14ac:dyDescent="0.2">
      <c r="A647" s="129">
        <f>IF(F647&lt;&gt;"",1+MAX($A$7:A646),"")</f>
        <v>233</v>
      </c>
      <c r="B647" s="140" t="s">
        <v>105</v>
      </c>
      <c r="C647" s="140" t="s">
        <v>104</v>
      </c>
      <c r="D647" s="149"/>
      <c r="E647" s="163" t="s">
        <v>115</v>
      </c>
      <c r="F647" s="149">
        <f>38.1*9</f>
        <v>342.90000000000003</v>
      </c>
      <c r="G647" s="124">
        <v>0.1</v>
      </c>
      <c r="H647" s="143">
        <f>F647*(1+G647)</f>
        <v>377.19000000000005</v>
      </c>
      <c r="I647" s="145" t="s">
        <v>18</v>
      </c>
      <c r="J647" s="37">
        <f>J$143</f>
        <v>0</v>
      </c>
      <c r="K647" s="159">
        <f>J647*H647</f>
        <v>0</v>
      </c>
      <c r="L647" s="160"/>
    </row>
    <row r="648" spans="1:12" s="21" customFormat="1" x14ac:dyDescent="0.2">
      <c r="A648" s="129" t="str">
        <f>IF(F648&lt;&gt;"",1+MAX($A$7:A647),"")</f>
        <v/>
      </c>
      <c r="B648" s="140"/>
      <c r="C648" s="140"/>
      <c r="D648" s="141"/>
      <c r="E648" s="165" t="s">
        <v>41</v>
      </c>
      <c r="F648" s="166"/>
      <c r="G648" s="167"/>
      <c r="H648" s="143">
        <f>ROUNDUP((H647)/32,0)</f>
        <v>12</v>
      </c>
      <c r="I648" s="145" t="s">
        <v>42</v>
      </c>
      <c r="J648" s="37"/>
      <c r="K648" s="159"/>
      <c r="L648" s="160"/>
    </row>
    <row r="649" spans="1:12" s="21" customFormat="1" x14ac:dyDescent="0.2">
      <c r="A649" s="129" t="str">
        <f>IF(F649&lt;&gt;"",1+MAX($A$7:A648),"")</f>
        <v/>
      </c>
      <c r="B649" s="140"/>
      <c r="C649" s="140"/>
      <c r="D649" s="141"/>
      <c r="E649" s="165" t="s">
        <v>43</v>
      </c>
      <c r="F649" s="166"/>
      <c r="G649" s="167"/>
      <c r="H649" s="143">
        <f>ROUNDUP(H648*24/500,0)</f>
        <v>1</v>
      </c>
      <c r="I649" s="145" t="s">
        <v>44</v>
      </c>
      <c r="J649" s="37"/>
      <c r="K649" s="159"/>
      <c r="L649" s="160"/>
    </row>
    <row r="650" spans="1:12" s="21" customFormat="1" x14ac:dyDescent="0.2">
      <c r="A650" s="129" t="str">
        <f>IF(F650&lt;&gt;"",1+MAX($A$7:A649),"")</f>
        <v/>
      </c>
      <c r="B650" s="140"/>
      <c r="C650" s="140"/>
      <c r="D650" s="141"/>
      <c r="E650" s="165" t="s">
        <v>45</v>
      </c>
      <c r="F650" s="166"/>
      <c r="G650" s="167"/>
      <c r="H650" s="168">
        <f>ROUNDUP((H647)/200,0)</f>
        <v>2</v>
      </c>
      <c r="I650" s="145" t="s">
        <v>46</v>
      </c>
      <c r="J650" s="37"/>
      <c r="K650" s="159"/>
      <c r="L650" s="160"/>
    </row>
    <row r="651" spans="1:12" s="21" customFormat="1" x14ac:dyDescent="0.2">
      <c r="A651" s="129" t="str">
        <f>IF(F651&lt;&gt;"",1+MAX($A$7:A650),"")</f>
        <v/>
      </c>
      <c r="B651" s="140"/>
      <c r="C651" s="140"/>
      <c r="D651" s="141"/>
      <c r="E651" s="165" t="s">
        <v>47</v>
      </c>
      <c r="F651" s="166"/>
      <c r="G651" s="167"/>
      <c r="H651" s="168">
        <f>ROUNDUP((H647)*5.25/1000,0)</f>
        <v>2</v>
      </c>
      <c r="I651" s="145" t="s">
        <v>48</v>
      </c>
      <c r="J651" s="37"/>
      <c r="K651" s="159"/>
      <c r="L651" s="160"/>
    </row>
    <row r="652" spans="1:12" s="21" customFormat="1" x14ac:dyDescent="0.2">
      <c r="A652" s="129">
        <f>IF(F652&lt;&gt;"",1+MAX($A$7:A651),"")</f>
        <v>234</v>
      </c>
      <c r="B652" s="140" t="s">
        <v>105</v>
      </c>
      <c r="C652" s="140" t="s">
        <v>104</v>
      </c>
      <c r="D652" s="149"/>
      <c r="E652" s="163" t="s">
        <v>101</v>
      </c>
      <c r="F652" s="149">
        <f>22*9</f>
        <v>198</v>
      </c>
      <c r="G652" s="124">
        <v>0.1</v>
      </c>
      <c r="H652" s="143">
        <f>F652*(1+G652)</f>
        <v>217.8</v>
      </c>
      <c r="I652" s="145" t="s">
        <v>18</v>
      </c>
      <c r="J652" s="37">
        <f>J$160</f>
        <v>0</v>
      </c>
      <c r="K652" s="159">
        <f>J652*H652</f>
        <v>0</v>
      </c>
      <c r="L652" s="160"/>
    </row>
    <row r="653" spans="1:12" s="21" customFormat="1" x14ac:dyDescent="0.2">
      <c r="A653" s="129" t="str">
        <f>IF(F653&lt;&gt;"",1+MAX($A$7:A652),"")</f>
        <v/>
      </c>
      <c r="B653" s="140"/>
      <c r="C653" s="140"/>
      <c r="D653" s="141"/>
      <c r="E653" s="165" t="s">
        <v>41</v>
      </c>
      <c r="F653" s="166"/>
      <c r="G653" s="167"/>
      <c r="H653" s="143">
        <f>ROUNDUP((H652)/32,0)</f>
        <v>7</v>
      </c>
      <c r="I653" s="145" t="s">
        <v>42</v>
      </c>
      <c r="J653" s="37"/>
      <c r="K653" s="159"/>
      <c r="L653" s="160"/>
    </row>
    <row r="654" spans="1:12" s="21" customFormat="1" x14ac:dyDescent="0.2">
      <c r="A654" s="129" t="str">
        <f>IF(F654&lt;&gt;"",1+MAX($A$7:A653),"")</f>
        <v/>
      </c>
      <c r="B654" s="140"/>
      <c r="C654" s="140"/>
      <c r="D654" s="141"/>
      <c r="E654" s="165" t="s">
        <v>43</v>
      </c>
      <c r="F654" s="166"/>
      <c r="G654" s="167"/>
      <c r="H654" s="143">
        <f>ROUNDUP(H653*24/500,0)</f>
        <v>1</v>
      </c>
      <c r="I654" s="145" t="s">
        <v>44</v>
      </c>
      <c r="J654" s="37"/>
      <c r="K654" s="159"/>
      <c r="L654" s="160"/>
    </row>
    <row r="655" spans="1:12" s="21" customFormat="1" x14ac:dyDescent="0.2">
      <c r="A655" s="129" t="str">
        <f>IF(F655&lt;&gt;"",1+MAX($A$7:A654),"")</f>
        <v/>
      </c>
      <c r="B655" s="140"/>
      <c r="C655" s="140"/>
      <c r="D655" s="141"/>
      <c r="E655" s="165" t="s">
        <v>45</v>
      </c>
      <c r="F655" s="166"/>
      <c r="G655" s="167"/>
      <c r="H655" s="168">
        <f>ROUNDUP((H652)/200,0)</f>
        <v>2</v>
      </c>
      <c r="I655" s="145" t="s">
        <v>46</v>
      </c>
      <c r="J655" s="37"/>
      <c r="K655" s="159"/>
      <c r="L655" s="160"/>
    </row>
    <row r="656" spans="1:12" s="21" customFormat="1" x14ac:dyDescent="0.2">
      <c r="A656" s="129" t="str">
        <f>IF(F656&lt;&gt;"",1+MAX($A$7:A655),"")</f>
        <v/>
      </c>
      <c r="B656" s="140"/>
      <c r="C656" s="140"/>
      <c r="D656" s="141"/>
      <c r="E656" s="165" t="s">
        <v>47</v>
      </c>
      <c r="F656" s="166"/>
      <c r="G656" s="167"/>
      <c r="H656" s="168">
        <f>ROUNDUP((H652)*5.25/1000,0)</f>
        <v>2</v>
      </c>
      <c r="I656" s="145" t="s">
        <v>48</v>
      </c>
      <c r="J656" s="37"/>
      <c r="K656" s="159"/>
      <c r="L656" s="160"/>
    </row>
    <row r="657" spans="1:12" s="21" customFormat="1" x14ac:dyDescent="0.2">
      <c r="A657" s="129">
        <f>IF(F657&lt;&gt;"",1+MAX($A$7:A656),"")</f>
        <v>235</v>
      </c>
      <c r="B657" s="140" t="s">
        <v>105</v>
      </c>
      <c r="C657" s="140" t="s">
        <v>104</v>
      </c>
      <c r="D657" s="141"/>
      <c r="E657" s="163" t="s">
        <v>102</v>
      </c>
      <c r="F657" s="149">
        <f>60.1*2</f>
        <v>120.2</v>
      </c>
      <c r="G657" s="124">
        <v>0.1</v>
      </c>
      <c r="H657" s="143">
        <f>F657*(1+G657)</f>
        <v>132.22000000000003</v>
      </c>
      <c r="I657" s="145" t="s">
        <v>15</v>
      </c>
      <c r="J657" s="37">
        <f>J$148</f>
        <v>0</v>
      </c>
      <c r="K657" s="159">
        <f>J657*H657</f>
        <v>0</v>
      </c>
      <c r="L657" s="160"/>
    </row>
    <row r="658" spans="1:12" s="21" customFormat="1" x14ac:dyDescent="0.2">
      <c r="A658" s="129">
        <f>IF(F658&lt;&gt;"",1+MAX($A$7:A657),"")</f>
        <v>236</v>
      </c>
      <c r="B658" s="140" t="s">
        <v>105</v>
      </c>
      <c r="C658" s="140" t="s">
        <v>104</v>
      </c>
      <c r="D658" s="149"/>
      <c r="E658" s="163" t="s">
        <v>349</v>
      </c>
      <c r="F658" s="149">
        <f>60.1*9</f>
        <v>540.9</v>
      </c>
      <c r="G658" s="124">
        <v>0.1</v>
      </c>
      <c r="H658" s="143">
        <f>F658*(1+G658)</f>
        <v>594.99</v>
      </c>
      <c r="I658" s="145" t="s">
        <v>18</v>
      </c>
      <c r="J658" s="37">
        <f>J$276</f>
        <v>0</v>
      </c>
      <c r="K658" s="159">
        <f>J658*H658</f>
        <v>0</v>
      </c>
      <c r="L658" s="160"/>
    </row>
    <row r="659" spans="1:12" s="21" customFormat="1" x14ac:dyDescent="0.2">
      <c r="A659" s="129">
        <f>IF(F659&lt;&gt;"",1+MAX($A$7:A658),"")</f>
        <v>237</v>
      </c>
      <c r="B659" s="140" t="s">
        <v>105</v>
      </c>
      <c r="C659" s="140" t="s">
        <v>104</v>
      </c>
      <c r="D659" s="149"/>
      <c r="E659" s="163" t="s">
        <v>116</v>
      </c>
      <c r="F659" s="149">
        <f>60.1*9</f>
        <v>540.9</v>
      </c>
      <c r="G659" s="124">
        <v>0.1</v>
      </c>
      <c r="H659" s="143">
        <f>F659*(1+G659)</f>
        <v>594.99</v>
      </c>
      <c r="I659" s="145" t="s">
        <v>18</v>
      </c>
      <c r="J659" s="37">
        <f>J$202</f>
        <v>0</v>
      </c>
      <c r="K659" s="159">
        <f>J659*H659</f>
        <v>0</v>
      </c>
      <c r="L659" s="160"/>
    </row>
    <row r="660" spans="1:12" s="21" customFormat="1" x14ac:dyDescent="0.2">
      <c r="A660" s="129" t="str">
        <f>IF(F660&lt;&gt;"",1+MAX($A$7:A659),"")</f>
        <v/>
      </c>
      <c r="B660" s="140"/>
      <c r="C660" s="140"/>
      <c r="D660" s="141"/>
      <c r="E660" s="163"/>
      <c r="F660" s="149"/>
      <c r="G660" s="124"/>
      <c r="H660" s="143"/>
      <c r="I660" s="145"/>
      <c r="J660" s="37"/>
      <c r="K660" s="159"/>
      <c r="L660" s="160"/>
    </row>
    <row r="661" spans="1:12" s="21" customFormat="1" x14ac:dyDescent="0.2">
      <c r="A661" s="129" t="str">
        <f>IF(F661&lt;&gt;"",1+MAX($A$7:A660),"")</f>
        <v/>
      </c>
      <c r="B661" s="140"/>
      <c r="C661" s="140"/>
      <c r="D661" s="141"/>
      <c r="E661" s="158" t="s">
        <v>123</v>
      </c>
      <c r="F661" s="149"/>
      <c r="G661" s="144"/>
      <c r="H661" s="143"/>
      <c r="I661" s="145"/>
      <c r="J661" s="37"/>
      <c r="K661" s="159"/>
      <c r="L661" s="160"/>
    </row>
    <row r="662" spans="1:12" s="21" customFormat="1" ht="31.5" x14ac:dyDescent="0.2">
      <c r="A662" s="129">
        <f>IF(F662&lt;&gt;"",1+MAX($A$7:A661),"")</f>
        <v>238</v>
      </c>
      <c r="B662" s="140" t="s">
        <v>105</v>
      </c>
      <c r="C662" s="140" t="s">
        <v>104</v>
      </c>
      <c r="D662" s="149"/>
      <c r="E662" s="163" t="s">
        <v>65</v>
      </c>
      <c r="F662" s="149">
        <f>(65+27.1)*9*2*2</f>
        <v>3315.6</v>
      </c>
      <c r="G662" s="124">
        <v>0.1</v>
      </c>
      <c r="H662" s="143">
        <f>F662*(1+G662)</f>
        <v>3647.1600000000003</v>
      </c>
      <c r="I662" s="145" t="s">
        <v>18</v>
      </c>
      <c r="J662" s="37">
        <f>J$143</f>
        <v>0</v>
      </c>
      <c r="K662" s="159">
        <f>J662*H662</f>
        <v>0</v>
      </c>
      <c r="L662" s="160"/>
    </row>
    <row r="663" spans="1:12" s="21" customFormat="1" x14ac:dyDescent="0.2">
      <c r="A663" s="129" t="str">
        <f>IF(F663&lt;&gt;"",1+MAX($A$7:A662),"")</f>
        <v/>
      </c>
      <c r="B663" s="140"/>
      <c r="C663" s="140"/>
      <c r="D663" s="141"/>
      <c r="E663" s="165" t="s">
        <v>41</v>
      </c>
      <c r="F663" s="166"/>
      <c r="G663" s="167"/>
      <c r="H663" s="143">
        <f>ROUNDUP((H662)/32,0)</f>
        <v>114</v>
      </c>
      <c r="I663" s="145" t="s">
        <v>42</v>
      </c>
      <c r="J663" s="37"/>
      <c r="K663" s="159"/>
      <c r="L663" s="160"/>
    </row>
    <row r="664" spans="1:12" s="21" customFormat="1" x14ac:dyDescent="0.2">
      <c r="A664" s="129" t="str">
        <f>IF(F664&lt;&gt;"",1+MAX($A$7:A663),"")</f>
        <v/>
      </c>
      <c r="B664" s="140"/>
      <c r="C664" s="140"/>
      <c r="D664" s="141"/>
      <c r="E664" s="165" t="s">
        <v>43</v>
      </c>
      <c r="F664" s="166"/>
      <c r="G664" s="167"/>
      <c r="H664" s="143">
        <f>ROUNDUP(H663*24/500,0)</f>
        <v>6</v>
      </c>
      <c r="I664" s="145" t="s">
        <v>44</v>
      </c>
      <c r="J664" s="37"/>
      <c r="K664" s="159"/>
      <c r="L664" s="160"/>
    </row>
    <row r="665" spans="1:12" s="21" customFormat="1" x14ac:dyDescent="0.2">
      <c r="A665" s="129" t="str">
        <f>IF(F665&lt;&gt;"",1+MAX($A$7:A664),"")</f>
        <v/>
      </c>
      <c r="B665" s="140"/>
      <c r="C665" s="140"/>
      <c r="D665" s="141"/>
      <c r="E665" s="165" t="s">
        <v>45</v>
      </c>
      <c r="F665" s="166"/>
      <c r="G665" s="167"/>
      <c r="H665" s="168">
        <f>ROUNDUP((H662)/200,0)</f>
        <v>19</v>
      </c>
      <c r="I665" s="145" t="s">
        <v>46</v>
      </c>
      <c r="J665" s="37"/>
      <c r="K665" s="159"/>
      <c r="L665" s="160"/>
    </row>
    <row r="666" spans="1:12" s="21" customFormat="1" x14ac:dyDescent="0.2">
      <c r="A666" s="129" t="str">
        <f>IF(F666&lt;&gt;"",1+MAX($A$7:A665),"")</f>
        <v/>
      </c>
      <c r="B666" s="140"/>
      <c r="C666" s="140"/>
      <c r="D666" s="141"/>
      <c r="E666" s="165" t="s">
        <v>47</v>
      </c>
      <c r="F666" s="166"/>
      <c r="G666" s="167"/>
      <c r="H666" s="168">
        <f>ROUNDUP((H662)*5.25/1000,0)</f>
        <v>20</v>
      </c>
      <c r="I666" s="145" t="s">
        <v>48</v>
      </c>
      <c r="J666" s="37"/>
      <c r="K666" s="159"/>
      <c r="L666" s="160"/>
    </row>
    <row r="667" spans="1:12" s="21" customFormat="1" x14ac:dyDescent="0.2">
      <c r="A667" s="129">
        <f>IF(F667&lt;&gt;"",1+MAX($A$7:A666),"")</f>
        <v>239</v>
      </c>
      <c r="B667" s="140" t="s">
        <v>105</v>
      </c>
      <c r="C667" s="140" t="s">
        <v>104</v>
      </c>
      <c r="D667" s="141"/>
      <c r="E667" s="163" t="s">
        <v>102</v>
      </c>
      <c r="F667" s="149">
        <f>(65+27.1)*4</f>
        <v>368.4</v>
      </c>
      <c r="G667" s="124">
        <v>0.1</v>
      </c>
      <c r="H667" s="143">
        <f>F667*(1+G667)</f>
        <v>405.24</v>
      </c>
      <c r="I667" s="145" t="s">
        <v>15</v>
      </c>
      <c r="J667" s="37">
        <f>J$148</f>
        <v>0</v>
      </c>
      <c r="K667" s="159">
        <f>J667*H667</f>
        <v>0</v>
      </c>
      <c r="L667" s="160"/>
    </row>
    <row r="668" spans="1:12" s="21" customFormat="1" x14ac:dyDescent="0.2">
      <c r="A668" s="129">
        <f>IF(F668&lt;&gt;"",1+MAX($A$7:A667),"")</f>
        <v>240</v>
      </c>
      <c r="B668" s="140" t="s">
        <v>105</v>
      </c>
      <c r="C668" s="140" t="s">
        <v>104</v>
      </c>
      <c r="D668" s="149"/>
      <c r="E668" s="163" t="s">
        <v>111</v>
      </c>
      <c r="F668" s="149">
        <f>(65+27.1)*9</f>
        <v>828.9</v>
      </c>
      <c r="G668" s="124">
        <v>0.1</v>
      </c>
      <c r="H668" s="143">
        <f>F668*(1+G668)</f>
        <v>911.79000000000008</v>
      </c>
      <c r="I668" s="145" t="s">
        <v>18</v>
      </c>
      <c r="J668" s="37">
        <f>J$187</f>
        <v>0</v>
      </c>
      <c r="K668" s="159">
        <f>J668*H668</f>
        <v>0</v>
      </c>
      <c r="L668" s="160"/>
    </row>
    <row r="669" spans="1:12" s="21" customFormat="1" x14ac:dyDescent="0.2">
      <c r="A669" s="129">
        <f>IF(F669&lt;&gt;"",1+MAX($A$7:A668),"")</f>
        <v>241</v>
      </c>
      <c r="B669" s="140" t="s">
        <v>105</v>
      </c>
      <c r="C669" s="140" t="s">
        <v>104</v>
      </c>
      <c r="D669" s="149"/>
      <c r="E669" s="163" t="s">
        <v>116</v>
      </c>
      <c r="F669" s="149">
        <f>(65+27.1)*9</f>
        <v>828.9</v>
      </c>
      <c r="G669" s="124">
        <v>0.1</v>
      </c>
      <c r="H669" s="143">
        <f>F669*(1+G669)</f>
        <v>911.79000000000008</v>
      </c>
      <c r="I669" s="145" t="s">
        <v>18</v>
      </c>
      <c r="J669" s="37">
        <f>J$202</f>
        <v>0</v>
      </c>
      <c r="K669" s="159">
        <f>J669*H669</f>
        <v>0</v>
      </c>
      <c r="L669" s="160"/>
    </row>
    <row r="670" spans="1:12" s="21" customFormat="1" x14ac:dyDescent="0.2">
      <c r="A670" s="129" t="str">
        <f>IF(F670&lt;&gt;"",1+MAX($A$7:A669),"")</f>
        <v/>
      </c>
      <c r="B670" s="140"/>
      <c r="C670" s="140"/>
      <c r="D670" s="141"/>
      <c r="E670" s="163"/>
      <c r="F670" s="149"/>
      <c r="G670" s="124"/>
      <c r="H670" s="143"/>
      <c r="I670" s="145"/>
      <c r="J670" s="37"/>
      <c r="K670" s="159"/>
      <c r="L670" s="160"/>
    </row>
    <row r="671" spans="1:12" s="21" customFormat="1" x14ac:dyDescent="0.2">
      <c r="A671" s="129" t="str">
        <f>IF(F671&lt;&gt;"",1+MAX($A$7:A670),"")</f>
        <v/>
      </c>
      <c r="B671" s="140"/>
      <c r="C671" s="140"/>
      <c r="D671" s="141"/>
      <c r="E671" s="158" t="s">
        <v>124</v>
      </c>
      <c r="F671" s="149"/>
      <c r="G671" s="144"/>
      <c r="H671" s="143"/>
      <c r="I671" s="145"/>
      <c r="J671" s="37"/>
      <c r="K671" s="159"/>
      <c r="L671" s="160"/>
    </row>
    <row r="672" spans="1:12" s="21" customFormat="1" ht="31.5" x14ac:dyDescent="0.2">
      <c r="A672" s="129">
        <f>IF(F672&lt;&gt;"",1+MAX($A$7:A671),"")</f>
        <v>242</v>
      </c>
      <c r="B672" s="140" t="s">
        <v>105</v>
      </c>
      <c r="C672" s="140" t="s">
        <v>104</v>
      </c>
      <c r="D672" s="149"/>
      <c r="E672" s="163" t="s">
        <v>65</v>
      </c>
      <c r="F672" s="149">
        <f>8*9*3</f>
        <v>216</v>
      </c>
      <c r="G672" s="124">
        <v>0.1</v>
      </c>
      <c r="H672" s="143">
        <f>F672*(1+G672)</f>
        <v>237.60000000000002</v>
      </c>
      <c r="I672" s="145" t="s">
        <v>18</v>
      </c>
      <c r="J672" s="37">
        <f>J$143</f>
        <v>0</v>
      </c>
      <c r="K672" s="159">
        <f>J672*H672</f>
        <v>0</v>
      </c>
      <c r="L672" s="160"/>
    </row>
    <row r="673" spans="1:12" s="21" customFormat="1" x14ac:dyDescent="0.2">
      <c r="A673" s="129" t="str">
        <f>IF(F673&lt;&gt;"",1+MAX($A$7:A672),"")</f>
        <v/>
      </c>
      <c r="B673" s="140"/>
      <c r="C673" s="140"/>
      <c r="D673" s="141"/>
      <c r="E673" s="165" t="s">
        <v>41</v>
      </c>
      <c r="F673" s="166"/>
      <c r="G673" s="167"/>
      <c r="H673" s="143">
        <f>ROUNDUP((H672)/32,0)</f>
        <v>8</v>
      </c>
      <c r="I673" s="145" t="s">
        <v>42</v>
      </c>
      <c r="J673" s="37"/>
      <c r="K673" s="159"/>
      <c r="L673" s="160"/>
    </row>
    <row r="674" spans="1:12" s="21" customFormat="1" x14ac:dyDescent="0.2">
      <c r="A674" s="129" t="str">
        <f>IF(F674&lt;&gt;"",1+MAX($A$7:A673),"")</f>
        <v/>
      </c>
      <c r="B674" s="140"/>
      <c r="C674" s="140"/>
      <c r="D674" s="141"/>
      <c r="E674" s="165" t="s">
        <v>43</v>
      </c>
      <c r="F674" s="166"/>
      <c r="G674" s="167"/>
      <c r="H674" s="143">
        <f>ROUNDUP(H673*24/500,0)</f>
        <v>1</v>
      </c>
      <c r="I674" s="145" t="s">
        <v>44</v>
      </c>
      <c r="J674" s="37"/>
      <c r="K674" s="159"/>
      <c r="L674" s="160"/>
    </row>
    <row r="675" spans="1:12" s="21" customFormat="1" x14ac:dyDescent="0.2">
      <c r="A675" s="129" t="str">
        <f>IF(F675&lt;&gt;"",1+MAX($A$7:A674),"")</f>
        <v/>
      </c>
      <c r="B675" s="140"/>
      <c r="C675" s="140"/>
      <c r="D675" s="141"/>
      <c r="E675" s="165" t="s">
        <v>45</v>
      </c>
      <c r="F675" s="166"/>
      <c r="G675" s="167"/>
      <c r="H675" s="168">
        <f>ROUNDUP((H672)/200,0)</f>
        <v>2</v>
      </c>
      <c r="I675" s="145" t="s">
        <v>46</v>
      </c>
      <c r="J675" s="37"/>
      <c r="K675" s="159"/>
      <c r="L675" s="160"/>
    </row>
    <row r="676" spans="1:12" s="21" customFormat="1" x14ac:dyDescent="0.2">
      <c r="A676" s="129" t="str">
        <f>IF(F676&lt;&gt;"",1+MAX($A$7:A675),"")</f>
        <v/>
      </c>
      <c r="B676" s="140"/>
      <c r="C676" s="140"/>
      <c r="D676" s="141"/>
      <c r="E676" s="165" t="s">
        <v>47</v>
      </c>
      <c r="F676" s="166"/>
      <c r="G676" s="167"/>
      <c r="H676" s="168">
        <f>ROUNDUP((H672)*5.25/1000,0)</f>
        <v>2</v>
      </c>
      <c r="I676" s="145" t="s">
        <v>48</v>
      </c>
      <c r="J676" s="37"/>
      <c r="K676" s="159"/>
      <c r="L676" s="160"/>
    </row>
    <row r="677" spans="1:12" s="21" customFormat="1" x14ac:dyDescent="0.2">
      <c r="A677" s="129">
        <f>IF(F677&lt;&gt;"",1+MAX($A$7:A676),"")</f>
        <v>243</v>
      </c>
      <c r="B677" s="140" t="s">
        <v>105</v>
      </c>
      <c r="C677" s="140" t="s">
        <v>104</v>
      </c>
      <c r="D677" s="149"/>
      <c r="E677" s="163" t="s">
        <v>101</v>
      </c>
      <c r="F677" s="149">
        <f>8*9</f>
        <v>72</v>
      </c>
      <c r="G677" s="124">
        <v>0.1</v>
      </c>
      <c r="H677" s="143">
        <f>F677*(1+G677)</f>
        <v>79.2</v>
      </c>
      <c r="I677" s="145" t="s">
        <v>18</v>
      </c>
      <c r="J677" s="37">
        <f>J$160</f>
        <v>0</v>
      </c>
      <c r="K677" s="159">
        <f>J677*H677</f>
        <v>0</v>
      </c>
      <c r="L677" s="160"/>
    </row>
    <row r="678" spans="1:12" s="21" customFormat="1" x14ac:dyDescent="0.2">
      <c r="A678" s="129" t="str">
        <f>IF(F678&lt;&gt;"",1+MAX($A$7:A677),"")</f>
        <v/>
      </c>
      <c r="B678" s="140"/>
      <c r="C678" s="140"/>
      <c r="D678" s="141"/>
      <c r="E678" s="165" t="s">
        <v>41</v>
      </c>
      <c r="F678" s="166"/>
      <c r="G678" s="167"/>
      <c r="H678" s="143">
        <f>ROUNDUP((H677)/32,0)</f>
        <v>3</v>
      </c>
      <c r="I678" s="145" t="s">
        <v>42</v>
      </c>
      <c r="J678" s="37"/>
      <c r="K678" s="159"/>
      <c r="L678" s="160"/>
    </row>
    <row r="679" spans="1:12" s="21" customFormat="1" x14ac:dyDescent="0.2">
      <c r="A679" s="129" t="str">
        <f>IF(F679&lt;&gt;"",1+MAX($A$7:A678),"")</f>
        <v/>
      </c>
      <c r="B679" s="140"/>
      <c r="C679" s="140"/>
      <c r="D679" s="141"/>
      <c r="E679" s="165" t="s">
        <v>43</v>
      </c>
      <c r="F679" s="166"/>
      <c r="G679" s="167"/>
      <c r="H679" s="143">
        <f>ROUNDUP(H678*24/500,0)</f>
        <v>1</v>
      </c>
      <c r="I679" s="145" t="s">
        <v>44</v>
      </c>
      <c r="J679" s="37"/>
      <c r="K679" s="159"/>
      <c r="L679" s="160"/>
    </row>
    <row r="680" spans="1:12" s="21" customFormat="1" x14ac:dyDescent="0.2">
      <c r="A680" s="129" t="str">
        <f>IF(F680&lt;&gt;"",1+MAX($A$7:A679),"")</f>
        <v/>
      </c>
      <c r="B680" s="140"/>
      <c r="C680" s="140"/>
      <c r="D680" s="141"/>
      <c r="E680" s="165" t="s">
        <v>45</v>
      </c>
      <c r="F680" s="166"/>
      <c r="G680" s="167"/>
      <c r="H680" s="168">
        <f>ROUNDUP((H677)/200,0)</f>
        <v>1</v>
      </c>
      <c r="I680" s="145" t="s">
        <v>46</v>
      </c>
      <c r="J680" s="37"/>
      <c r="K680" s="159"/>
      <c r="L680" s="160"/>
    </row>
    <row r="681" spans="1:12" s="21" customFormat="1" x14ac:dyDescent="0.2">
      <c r="A681" s="129" t="str">
        <f>IF(F681&lt;&gt;"",1+MAX($A$7:A680),"")</f>
        <v/>
      </c>
      <c r="B681" s="140"/>
      <c r="C681" s="140"/>
      <c r="D681" s="141"/>
      <c r="E681" s="165" t="s">
        <v>47</v>
      </c>
      <c r="F681" s="166"/>
      <c r="G681" s="167"/>
      <c r="H681" s="168">
        <f>ROUNDUP((H677)*5.25/1000,0)</f>
        <v>1</v>
      </c>
      <c r="I681" s="145" t="s">
        <v>48</v>
      </c>
      <c r="J681" s="37"/>
      <c r="K681" s="159"/>
      <c r="L681" s="160"/>
    </row>
    <row r="682" spans="1:12" s="21" customFormat="1" x14ac:dyDescent="0.2">
      <c r="A682" s="129">
        <f>IF(F682&lt;&gt;"",1+MAX($A$7:A681),"")</f>
        <v>244</v>
      </c>
      <c r="B682" s="140" t="s">
        <v>105</v>
      </c>
      <c r="C682" s="140" t="s">
        <v>104</v>
      </c>
      <c r="D682" s="141"/>
      <c r="E682" s="163" t="s">
        <v>102</v>
      </c>
      <c r="F682" s="149">
        <f>8*4</f>
        <v>32</v>
      </c>
      <c r="G682" s="124">
        <v>0.1</v>
      </c>
      <c r="H682" s="143">
        <f>F682*(1+G682)</f>
        <v>35.200000000000003</v>
      </c>
      <c r="I682" s="145" t="s">
        <v>15</v>
      </c>
      <c r="J682" s="37">
        <f>J$148</f>
        <v>0</v>
      </c>
      <c r="K682" s="159">
        <f>J682*H682</f>
        <v>0</v>
      </c>
      <c r="L682" s="160"/>
    </row>
    <row r="683" spans="1:12" s="21" customFormat="1" x14ac:dyDescent="0.2">
      <c r="A683" s="129">
        <f>IF(F683&lt;&gt;"",1+MAX($A$7:A682),"")</f>
        <v>245</v>
      </c>
      <c r="B683" s="140" t="s">
        <v>105</v>
      </c>
      <c r="C683" s="140" t="s">
        <v>104</v>
      </c>
      <c r="D683" s="149"/>
      <c r="E683" s="163" t="s">
        <v>112</v>
      </c>
      <c r="F683" s="149">
        <f>8*9</f>
        <v>72</v>
      </c>
      <c r="G683" s="124">
        <v>0.1</v>
      </c>
      <c r="H683" s="143">
        <f>F683*(1+G683)</f>
        <v>79.2</v>
      </c>
      <c r="I683" s="145" t="s">
        <v>18</v>
      </c>
      <c r="J683" s="37">
        <f>J$226</f>
        <v>0</v>
      </c>
      <c r="K683" s="159">
        <f>J683*H683</f>
        <v>0</v>
      </c>
      <c r="L683" s="160"/>
    </row>
    <row r="684" spans="1:12" s="21" customFormat="1" x14ac:dyDescent="0.2">
      <c r="A684" s="129">
        <f>IF(F684&lt;&gt;"",1+MAX($A$7:A683),"")</f>
        <v>246</v>
      </c>
      <c r="B684" s="140" t="s">
        <v>105</v>
      </c>
      <c r="C684" s="140" t="s">
        <v>104</v>
      </c>
      <c r="D684" s="149"/>
      <c r="E684" s="163" t="s">
        <v>116</v>
      </c>
      <c r="F684" s="149">
        <f>8*9</f>
        <v>72</v>
      </c>
      <c r="G684" s="124">
        <v>0.1</v>
      </c>
      <c r="H684" s="143">
        <f>F684*(1+G684)</f>
        <v>79.2</v>
      </c>
      <c r="I684" s="145" t="s">
        <v>18</v>
      </c>
      <c r="J684" s="37">
        <f>J$202</f>
        <v>0</v>
      </c>
      <c r="K684" s="159">
        <f>J684*H684</f>
        <v>0</v>
      </c>
      <c r="L684" s="160"/>
    </row>
    <row r="685" spans="1:12" s="21" customFormat="1" x14ac:dyDescent="0.2">
      <c r="A685" s="129" t="str">
        <f>IF(F685&lt;&gt;"",1+MAX($A$7:A684),"")</f>
        <v/>
      </c>
      <c r="B685" s="140"/>
      <c r="C685" s="140"/>
      <c r="D685" s="141"/>
      <c r="E685" s="163"/>
      <c r="F685" s="149"/>
      <c r="G685" s="124"/>
      <c r="H685" s="143"/>
      <c r="I685" s="145"/>
      <c r="J685" s="37"/>
      <c r="K685" s="159"/>
      <c r="L685" s="160"/>
    </row>
    <row r="686" spans="1:12" s="21" customFormat="1" x14ac:dyDescent="0.2">
      <c r="A686" s="129" t="str">
        <f>IF(F686&lt;&gt;"",1+MAX($A$7:A685),"")</f>
        <v/>
      </c>
      <c r="B686" s="140"/>
      <c r="C686" s="140"/>
      <c r="D686" s="141"/>
      <c r="E686" s="158" t="s">
        <v>132</v>
      </c>
      <c r="F686" s="149"/>
      <c r="G686" s="144"/>
      <c r="H686" s="143"/>
      <c r="I686" s="145"/>
      <c r="J686" s="37"/>
      <c r="K686" s="159"/>
      <c r="L686" s="160"/>
    </row>
    <row r="687" spans="1:12" s="21" customFormat="1" x14ac:dyDescent="0.2">
      <c r="A687" s="129">
        <f>IF(F687&lt;&gt;"",1+MAX($A$7:A686),"")</f>
        <v>247</v>
      </c>
      <c r="B687" s="140" t="s">
        <v>105</v>
      </c>
      <c r="C687" s="140" t="s">
        <v>104</v>
      </c>
      <c r="D687" s="149"/>
      <c r="E687" s="163" t="s">
        <v>100</v>
      </c>
      <c r="F687" s="149">
        <f>28.4*9*2</f>
        <v>511.2</v>
      </c>
      <c r="G687" s="124">
        <v>0.1</v>
      </c>
      <c r="H687" s="143">
        <f>F687*(1+G687)</f>
        <v>562.32000000000005</v>
      </c>
      <c r="I687" s="145" t="s">
        <v>18</v>
      </c>
      <c r="J687" s="37">
        <f>J$143</f>
        <v>0</v>
      </c>
      <c r="K687" s="159">
        <f>J687*H687</f>
        <v>0</v>
      </c>
      <c r="L687" s="160"/>
    </row>
    <row r="688" spans="1:12" s="21" customFormat="1" x14ac:dyDescent="0.2">
      <c r="A688" s="129" t="str">
        <f>IF(F688&lt;&gt;"",1+MAX($A$7:A687),"")</f>
        <v/>
      </c>
      <c r="B688" s="140"/>
      <c r="C688" s="140"/>
      <c r="D688" s="141"/>
      <c r="E688" s="165" t="s">
        <v>41</v>
      </c>
      <c r="F688" s="166"/>
      <c r="G688" s="167"/>
      <c r="H688" s="143">
        <f>ROUNDUP((H687)/32,0)</f>
        <v>18</v>
      </c>
      <c r="I688" s="145" t="s">
        <v>42</v>
      </c>
      <c r="J688" s="37"/>
      <c r="K688" s="159"/>
      <c r="L688" s="160"/>
    </row>
    <row r="689" spans="1:12" s="21" customFormat="1" x14ac:dyDescent="0.2">
      <c r="A689" s="129" t="str">
        <f>IF(F689&lt;&gt;"",1+MAX($A$7:A688),"")</f>
        <v/>
      </c>
      <c r="B689" s="140"/>
      <c r="C689" s="140"/>
      <c r="D689" s="141"/>
      <c r="E689" s="165" t="s">
        <v>43</v>
      </c>
      <c r="F689" s="166"/>
      <c r="G689" s="167"/>
      <c r="H689" s="143">
        <f>ROUNDUP(H688*24/500,0)</f>
        <v>1</v>
      </c>
      <c r="I689" s="145" t="s">
        <v>44</v>
      </c>
      <c r="J689" s="37"/>
      <c r="K689" s="159"/>
      <c r="L689" s="160"/>
    </row>
    <row r="690" spans="1:12" s="21" customFormat="1" x14ac:dyDescent="0.2">
      <c r="A690" s="129" t="str">
        <f>IF(F690&lt;&gt;"",1+MAX($A$7:A689),"")</f>
        <v/>
      </c>
      <c r="B690" s="140"/>
      <c r="C690" s="140"/>
      <c r="D690" s="141"/>
      <c r="E690" s="165" t="s">
        <v>45</v>
      </c>
      <c r="F690" s="166"/>
      <c r="G690" s="167"/>
      <c r="H690" s="168">
        <f>ROUNDUP((H687)/200,0)</f>
        <v>3</v>
      </c>
      <c r="I690" s="145" t="s">
        <v>46</v>
      </c>
      <c r="J690" s="37"/>
      <c r="K690" s="159"/>
      <c r="L690" s="160"/>
    </row>
    <row r="691" spans="1:12" s="21" customFormat="1" x14ac:dyDescent="0.2">
      <c r="A691" s="129" t="str">
        <f>IF(F691&lt;&gt;"",1+MAX($A$7:A690),"")</f>
        <v/>
      </c>
      <c r="B691" s="140"/>
      <c r="C691" s="140"/>
      <c r="D691" s="141"/>
      <c r="E691" s="165" t="s">
        <v>47</v>
      </c>
      <c r="F691" s="166"/>
      <c r="G691" s="167"/>
      <c r="H691" s="168">
        <f>ROUNDUP((H687)*5.25/1000,0)</f>
        <v>3</v>
      </c>
      <c r="I691" s="145" t="s">
        <v>48</v>
      </c>
      <c r="J691" s="37"/>
      <c r="K691" s="159"/>
      <c r="L691" s="160"/>
    </row>
    <row r="692" spans="1:12" s="21" customFormat="1" x14ac:dyDescent="0.2">
      <c r="A692" s="129">
        <f>IF(F692&lt;&gt;"",1+MAX($A$7:A691),"")</f>
        <v>248</v>
      </c>
      <c r="B692" s="140" t="s">
        <v>105</v>
      </c>
      <c r="C692" s="140" t="s">
        <v>104</v>
      </c>
      <c r="D692" s="141"/>
      <c r="E692" s="163" t="s">
        <v>102</v>
      </c>
      <c r="F692" s="149">
        <f>28.4*4</f>
        <v>113.6</v>
      </c>
      <c r="G692" s="124">
        <v>0.1</v>
      </c>
      <c r="H692" s="143">
        <f>F692*(1+G692)</f>
        <v>124.96000000000001</v>
      </c>
      <c r="I692" s="145" t="s">
        <v>15</v>
      </c>
      <c r="J692" s="37">
        <f>J$148</f>
        <v>0</v>
      </c>
      <c r="K692" s="159">
        <f>J692*H692</f>
        <v>0</v>
      </c>
      <c r="L692" s="160"/>
    </row>
    <row r="693" spans="1:12" s="21" customFormat="1" x14ac:dyDescent="0.2">
      <c r="A693" s="129">
        <f>IF(F693&lt;&gt;"",1+MAX($A$7:A692),"")</f>
        <v>249</v>
      </c>
      <c r="B693" s="140" t="s">
        <v>105</v>
      </c>
      <c r="C693" s="140" t="s">
        <v>104</v>
      </c>
      <c r="D693" s="149"/>
      <c r="E693" s="163" t="s">
        <v>349</v>
      </c>
      <c r="F693" s="149">
        <f>28.4*9</f>
        <v>255.6</v>
      </c>
      <c r="G693" s="124">
        <v>0.1</v>
      </c>
      <c r="H693" s="143">
        <f>F693*(1+G693)</f>
        <v>281.16000000000003</v>
      </c>
      <c r="I693" s="145" t="s">
        <v>18</v>
      </c>
      <c r="J693" s="37">
        <f>J$276</f>
        <v>0</v>
      </c>
      <c r="K693" s="159">
        <f>J693*H693</f>
        <v>0</v>
      </c>
      <c r="L693" s="160"/>
    </row>
    <row r="694" spans="1:12" s="21" customFormat="1" x14ac:dyDescent="0.2">
      <c r="A694" s="129">
        <f>IF(F694&lt;&gt;"",1+MAX($A$7:A693),"")</f>
        <v>250</v>
      </c>
      <c r="B694" s="140" t="s">
        <v>105</v>
      </c>
      <c r="C694" s="140" t="s">
        <v>104</v>
      </c>
      <c r="D694" s="149"/>
      <c r="E694" s="163" t="s">
        <v>116</v>
      </c>
      <c r="F694" s="149">
        <f>28.4*9</f>
        <v>255.6</v>
      </c>
      <c r="G694" s="124">
        <v>0.1</v>
      </c>
      <c r="H694" s="143">
        <f>F694*(1+G694)</f>
        <v>281.16000000000003</v>
      </c>
      <c r="I694" s="145" t="s">
        <v>18</v>
      </c>
      <c r="J694" s="37">
        <f>J$202</f>
        <v>0</v>
      </c>
      <c r="K694" s="159">
        <f>J694*H694</f>
        <v>0</v>
      </c>
      <c r="L694" s="160"/>
    </row>
    <row r="695" spans="1:12" s="21" customFormat="1" x14ac:dyDescent="0.2">
      <c r="A695" s="129" t="str">
        <f>IF(F695&lt;&gt;"",1+MAX($A$7:A694),"")</f>
        <v/>
      </c>
      <c r="B695" s="140"/>
      <c r="C695" s="140"/>
      <c r="D695" s="141"/>
      <c r="E695" s="163"/>
      <c r="F695" s="149"/>
      <c r="G695" s="124"/>
      <c r="H695" s="143"/>
      <c r="I695" s="145"/>
      <c r="J695" s="37"/>
      <c r="K695" s="159"/>
      <c r="L695" s="160"/>
    </row>
    <row r="696" spans="1:12" s="21" customFormat="1" x14ac:dyDescent="0.2">
      <c r="A696" s="129" t="str">
        <f>IF(F696&lt;&gt;"",1+MAX($A$7:A695),"")</f>
        <v/>
      </c>
      <c r="B696" s="140"/>
      <c r="C696" s="140"/>
      <c r="D696" s="141"/>
      <c r="E696" s="158" t="s">
        <v>135</v>
      </c>
      <c r="F696" s="149"/>
      <c r="G696" s="144"/>
      <c r="H696" s="143"/>
      <c r="I696" s="145"/>
      <c r="J696" s="37"/>
      <c r="K696" s="159"/>
      <c r="L696" s="160"/>
    </row>
    <row r="697" spans="1:12" s="21" customFormat="1" x14ac:dyDescent="0.2">
      <c r="A697" s="129">
        <f>IF(F697&lt;&gt;"",1+MAX($A$7:A696),"")</f>
        <v>251</v>
      </c>
      <c r="B697" s="140" t="s">
        <v>105</v>
      </c>
      <c r="C697" s="140" t="s">
        <v>104</v>
      </c>
      <c r="D697" s="149"/>
      <c r="E697" s="163" t="s">
        <v>100</v>
      </c>
      <c r="F697" s="149">
        <f>10.1*9*2</f>
        <v>181.79999999999998</v>
      </c>
      <c r="G697" s="124">
        <v>0.1</v>
      </c>
      <c r="H697" s="143">
        <f>F697*(1+G697)</f>
        <v>199.98</v>
      </c>
      <c r="I697" s="145" t="s">
        <v>18</v>
      </c>
      <c r="J697" s="37">
        <f>J$143</f>
        <v>0</v>
      </c>
      <c r="K697" s="159">
        <f>J697*H697</f>
        <v>0</v>
      </c>
      <c r="L697" s="160"/>
    </row>
    <row r="698" spans="1:12" s="21" customFormat="1" x14ac:dyDescent="0.2">
      <c r="A698" s="129" t="str">
        <f>IF(F698&lt;&gt;"",1+MAX($A$7:A697),"")</f>
        <v/>
      </c>
      <c r="B698" s="140"/>
      <c r="C698" s="140"/>
      <c r="D698" s="141"/>
      <c r="E698" s="165" t="s">
        <v>41</v>
      </c>
      <c r="F698" s="166"/>
      <c r="G698" s="167"/>
      <c r="H698" s="143">
        <f>ROUNDUP((H697)/32,0)</f>
        <v>7</v>
      </c>
      <c r="I698" s="145" t="s">
        <v>42</v>
      </c>
      <c r="J698" s="37"/>
      <c r="K698" s="159"/>
      <c r="L698" s="160"/>
    </row>
    <row r="699" spans="1:12" s="21" customFormat="1" x14ac:dyDescent="0.2">
      <c r="A699" s="129" t="str">
        <f>IF(F699&lt;&gt;"",1+MAX($A$7:A698),"")</f>
        <v/>
      </c>
      <c r="B699" s="140"/>
      <c r="C699" s="140"/>
      <c r="D699" s="141"/>
      <c r="E699" s="165" t="s">
        <v>43</v>
      </c>
      <c r="F699" s="166"/>
      <c r="G699" s="167"/>
      <c r="H699" s="143">
        <f>ROUNDUP(H698*24/500,0)</f>
        <v>1</v>
      </c>
      <c r="I699" s="145" t="s">
        <v>44</v>
      </c>
      <c r="J699" s="37"/>
      <c r="K699" s="159"/>
      <c r="L699" s="160"/>
    </row>
    <row r="700" spans="1:12" s="21" customFormat="1" x14ac:dyDescent="0.2">
      <c r="A700" s="129" t="str">
        <f>IF(F700&lt;&gt;"",1+MAX($A$7:A699),"")</f>
        <v/>
      </c>
      <c r="B700" s="140"/>
      <c r="C700" s="140"/>
      <c r="D700" s="141"/>
      <c r="E700" s="165" t="s">
        <v>45</v>
      </c>
      <c r="F700" s="166"/>
      <c r="G700" s="167"/>
      <c r="H700" s="168">
        <f>ROUNDUP((H697)/200,0)</f>
        <v>1</v>
      </c>
      <c r="I700" s="145" t="s">
        <v>46</v>
      </c>
      <c r="J700" s="37"/>
      <c r="K700" s="159"/>
      <c r="L700" s="160"/>
    </row>
    <row r="701" spans="1:12" s="21" customFormat="1" x14ac:dyDescent="0.2">
      <c r="A701" s="129" t="str">
        <f>IF(F701&lt;&gt;"",1+MAX($A$7:A700),"")</f>
        <v/>
      </c>
      <c r="B701" s="140"/>
      <c r="C701" s="140"/>
      <c r="D701" s="141"/>
      <c r="E701" s="165" t="s">
        <v>47</v>
      </c>
      <c r="F701" s="166"/>
      <c r="G701" s="167"/>
      <c r="H701" s="168">
        <f>ROUNDUP((H697)*5.25/1000,0)</f>
        <v>2</v>
      </c>
      <c r="I701" s="145" t="s">
        <v>48</v>
      </c>
      <c r="J701" s="37"/>
      <c r="K701" s="159"/>
      <c r="L701" s="160"/>
    </row>
    <row r="702" spans="1:12" s="21" customFormat="1" x14ac:dyDescent="0.2">
      <c r="A702" s="129">
        <f>IF(F702&lt;&gt;"",1+MAX($A$7:A701),"")</f>
        <v>252</v>
      </c>
      <c r="B702" s="140" t="s">
        <v>105</v>
      </c>
      <c r="C702" s="140" t="s">
        <v>104</v>
      </c>
      <c r="D702" s="141"/>
      <c r="E702" s="163" t="s">
        <v>102</v>
      </c>
      <c r="F702" s="149">
        <f>10.1*4</f>
        <v>40.4</v>
      </c>
      <c r="G702" s="124">
        <v>0.1</v>
      </c>
      <c r="H702" s="143">
        <f>F702*(1+G702)</f>
        <v>44.440000000000005</v>
      </c>
      <c r="I702" s="145" t="s">
        <v>15</v>
      </c>
      <c r="J702" s="37">
        <f>J$148</f>
        <v>0</v>
      </c>
      <c r="K702" s="159">
        <f>J702*H702</f>
        <v>0</v>
      </c>
      <c r="L702" s="160"/>
    </row>
    <row r="703" spans="1:12" s="21" customFormat="1" x14ac:dyDescent="0.2">
      <c r="A703" s="129">
        <f>IF(F703&lt;&gt;"",1+MAX($A$7:A702),"")</f>
        <v>253</v>
      </c>
      <c r="B703" s="140" t="s">
        <v>105</v>
      </c>
      <c r="C703" s="140" t="s">
        <v>104</v>
      </c>
      <c r="D703" s="149"/>
      <c r="E703" s="163" t="s">
        <v>349</v>
      </c>
      <c r="F703" s="149">
        <f>10.1*9</f>
        <v>90.899999999999991</v>
      </c>
      <c r="G703" s="124">
        <v>0.1</v>
      </c>
      <c r="H703" s="143">
        <f>F703*(1+G703)</f>
        <v>99.99</v>
      </c>
      <c r="I703" s="145" t="s">
        <v>18</v>
      </c>
      <c r="J703" s="37">
        <f>J$276</f>
        <v>0</v>
      </c>
      <c r="K703" s="159">
        <f>J703*H703</f>
        <v>0</v>
      </c>
      <c r="L703" s="160"/>
    </row>
    <row r="704" spans="1:12" s="21" customFormat="1" x14ac:dyDescent="0.2">
      <c r="A704" s="129">
        <f>IF(F704&lt;&gt;"",1+MAX($A$7:A703),"")</f>
        <v>254</v>
      </c>
      <c r="B704" s="140" t="s">
        <v>105</v>
      </c>
      <c r="C704" s="140" t="s">
        <v>104</v>
      </c>
      <c r="D704" s="149"/>
      <c r="E704" s="163" t="s">
        <v>116</v>
      </c>
      <c r="F704" s="149">
        <f>10.1*9</f>
        <v>90.899999999999991</v>
      </c>
      <c r="G704" s="124">
        <v>0.1</v>
      </c>
      <c r="H704" s="143">
        <f>F704*(1+G704)</f>
        <v>99.99</v>
      </c>
      <c r="I704" s="145" t="s">
        <v>18</v>
      </c>
      <c r="J704" s="37">
        <f>J$202</f>
        <v>0</v>
      </c>
      <c r="K704" s="159">
        <f>J704*H704</f>
        <v>0</v>
      </c>
      <c r="L704" s="160"/>
    </row>
    <row r="705" spans="1:12" s="21" customFormat="1" x14ac:dyDescent="0.2">
      <c r="A705" s="129" t="str">
        <f>IF(F705&lt;&gt;"",1+MAX($A$7:A704),"")</f>
        <v/>
      </c>
      <c r="B705" s="140"/>
      <c r="C705" s="140"/>
      <c r="D705" s="149"/>
      <c r="E705" s="163"/>
      <c r="F705" s="149"/>
      <c r="G705" s="124"/>
      <c r="H705" s="143"/>
      <c r="I705" s="145"/>
      <c r="J705" s="37"/>
      <c r="K705" s="159"/>
      <c r="L705" s="160"/>
    </row>
    <row r="706" spans="1:12" s="21" customFormat="1" x14ac:dyDescent="0.2">
      <c r="A706" s="129" t="str">
        <f>IF(F706&lt;&gt;"",1+MAX($A$7:A705),"")</f>
        <v/>
      </c>
      <c r="B706" s="140"/>
      <c r="C706" s="140"/>
      <c r="D706" s="141"/>
      <c r="E706" s="158" t="s">
        <v>144</v>
      </c>
      <c r="F706" s="149"/>
      <c r="G706" s="144"/>
      <c r="H706" s="143"/>
      <c r="I706" s="145"/>
      <c r="J706" s="37"/>
      <c r="K706" s="159"/>
      <c r="L706" s="160"/>
    </row>
    <row r="707" spans="1:12" s="21" customFormat="1" ht="31.5" x14ac:dyDescent="0.2">
      <c r="A707" s="129">
        <f>IF(F707&lt;&gt;"",1+MAX($A$7:A706),"")</f>
        <v>255</v>
      </c>
      <c r="B707" s="140" t="s">
        <v>105</v>
      </c>
      <c r="C707" s="140" t="s">
        <v>104</v>
      </c>
      <c r="D707" s="149"/>
      <c r="E707" s="163" t="s">
        <v>65</v>
      </c>
      <c r="F707" s="149">
        <f>3.3*9*2*2</f>
        <v>118.8</v>
      </c>
      <c r="G707" s="124">
        <v>0.1</v>
      </c>
      <c r="H707" s="143">
        <f>F707*(1+G707)</f>
        <v>130.68</v>
      </c>
      <c r="I707" s="145" t="s">
        <v>18</v>
      </c>
      <c r="J707" s="37">
        <f>J$143</f>
        <v>0</v>
      </c>
      <c r="K707" s="159">
        <f>J707*H707</f>
        <v>0</v>
      </c>
      <c r="L707" s="160"/>
    </row>
    <row r="708" spans="1:12" s="21" customFormat="1" x14ac:dyDescent="0.2">
      <c r="A708" s="129" t="str">
        <f>IF(F708&lt;&gt;"",1+MAX($A$7:A707),"")</f>
        <v/>
      </c>
      <c r="B708" s="140"/>
      <c r="C708" s="140"/>
      <c r="D708" s="141"/>
      <c r="E708" s="165" t="s">
        <v>41</v>
      </c>
      <c r="F708" s="166"/>
      <c r="G708" s="167"/>
      <c r="H708" s="143">
        <f>ROUNDUP((H707)/32,0)</f>
        <v>5</v>
      </c>
      <c r="I708" s="145" t="s">
        <v>42</v>
      </c>
      <c r="J708" s="37"/>
      <c r="K708" s="159"/>
      <c r="L708" s="160"/>
    </row>
    <row r="709" spans="1:12" s="21" customFormat="1" x14ac:dyDescent="0.2">
      <c r="A709" s="129" t="str">
        <f>IF(F709&lt;&gt;"",1+MAX($A$7:A708),"")</f>
        <v/>
      </c>
      <c r="B709" s="140"/>
      <c r="C709" s="140"/>
      <c r="D709" s="141"/>
      <c r="E709" s="165" t="s">
        <v>43</v>
      </c>
      <c r="F709" s="166"/>
      <c r="G709" s="167"/>
      <c r="H709" s="143">
        <f>ROUNDUP(H708*24/500,0)</f>
        <v>1</v>
      </c>
      <c r="I709" s="145" t="s">
        <v>44</v>
      </c>
      <c r="J709" s="37"/>
      <c r="K709" s="159"/>
      <c r="L709" s="160"/>
    </row>
    <row r="710" spans="1:12" s="21" customFormat="1" x14ac:dyDescent="0.2">
      <c r="A710" s="129" t="str">
        <f>IF(F710&lt;&gt;"",1+MAX($A$7:A709),"")</f>
        <v/>
      </c>
      <c r="B710" s="140"/>
      <c r="C710" s="140"/>
      <c r="D710" s="141"/>
      <c r="E710" s="165" t="s">
        <v>45</v>
      </c>
      <c r="F710" s="166"/>
      <c r="G710" s="167"/>
      <c r="H710" s="168">
        <f>ROUNDUP((H707)/200,0)</f>
        <v>1</v>
      </c>
      <c r="I710" s="145" t="s">
        <v>46</v>
      </c>
      <c r="J710" s="37"/>
      <c r="K710" s="159"/>
      <c r="L710" s="160"/>
    </row>
    <row r="711" spans="1:12" s="21" customFormat="1" x14ac:dyDescent="0.2">
      <c r="A711" s="129" t="str">
        <f>IF(F711&lt;&gt;"",1+MAX($A$7:A710),"")</f>
        <v/>
      </c>
      <c r="B711" s="140"/>
      <c r="C711" s="140"/>
      <c r="D711" s="141"/>
      <c r="E711" s="165" t="s">
        <v>47</v>
      </c>
      <c r="F711" s="166"/>
      <c r="G711" s="167"/>
      <c r="H711" s="168">
        <f>ROUNDUP((H707)*5.25/1000,0)</f>
        <v>1</v>
      </c>
      <c r="I711" s="145" t="s">
        <v>48</v>
      </c>
      <c r="J711" s="37"/>
      <c r="K711" s="159"/>
      <c r="L711" s="160"/>
    </row>
    <row r="712" spans="1:12" s="21" customFormat="1" x14ac:dyDescent="0.2">
      <c r="A712" s="129">
        <f>IF(F712&lt;&gt;"",1+MAX($A$7:A711),"")</f>
        <v>256</v>
      </c>
      <c r="B712" s="140" t="s">
        <v>105</v>
      </c>
      <c r="C712" s="140" t="s">
        <v>104</v>
      </c>
      <c r="D712" s="141"/>
      <c r="E712" s="163" t="s">
        <v>102</v>
      </c>
      <c r="F712" s="149">
        <f>3.3*4</f>
        <v>13.2</v>
      </c>
      <c r="G712" s="124">
        <v>0.1</v>
      </c>
      <c r="H712" s="143">
        <f>F712*(1+G712)</f>
        <v>14.52</v>
      </c>
      <c r="I712" s="145" t="s">
        <v>15</v>
      </c>
      <c r="J712" s="37">
        <f>J$148</f>
        <v>0</v>
      </c>
      <c r="K712" s="159">
        <f>J712*H712</f>
        <v>0</v>
      </c>
      <c r="L712" s="160"/>
    </row>
    <row r="713" spans="1:12" s="21" customFormat="1" x14ac:dyDescent="0.2">
      <c r="A713" s="129">
        <f>IF(F713&lt;&gt;"",1+MAX($A$7:A712),"")</f>
        <v>257</v>
      </c>
      <c r="B713" s="140" t="s">
        <v>105</v>
      </c>
      <c r="C713" s="140" t="s">
        <v>104</v>
      </c>
      <c r="D713" s="149"/>
      <c r="E713" s="163" t="s">
        <v>126</v>
      </c>
      <c r="F713" s="149">
        <f>3.3*9</f>
        <v>29.7</v>
      </c>
      <c r="G713" s="124">
        <v>0.1</v>
      </c>
      <c r="H713" s="143">
        <f>F713*(1+G713)</f>
        <v>32.67</v>
      </c>
      <c r="I713" s="145" t="s">
        <v>18</v>
      </c>
      <c r="J713" s="37">
        <f>J$149</f>
        <v>0</v>
      </c>
      <c r="K713" s="159">
        <f>J713*H713</f>
        <v>0</v>
      </c>
      <c r="L713" s="160"/>
    </row>
    <row r="714" spans="1:12" s="21" customFormat="1" x14ac:dyDescent="0.2">
      <c r="A714" s="129" t="str">
        <f>IF(F714&lt;&gt;"",1+MAX($A$7:A713),"")</f>
        <v/>
      </c>
      <c r="B714" s="140"/>
      <c r="C714" s="140"/>
      <c r="D714" s="141"/>
      <c r="E714" s="165" t="s">
        <v>49</v>
      </c>
      <c r="F714" s="149"/>
      <c r="G714" s="124"/>
      <c r="H714" s="143">
        <f>(3.3/1.167+1)</f>
        <v>3.8277634961439588</v>
      </c>
      <c r="I714" s="145" t="s">
        <v>20</v>
      </c>
      <c r="J714" s="37"/>
      <c r="K714" s="159"/>
      <c r="L714" s="160"/>
    </row>
    <row r="715" spans="1:12" s="21" customFormat="1" x14ac:dyDescent="0.2">
      <c r="A715" s="129">
        <f>IF(F715&lt;&gt;"",1+MAX($A$7:A714),"")</f>
        <v>258</v>
      </c>
      <c r="B715" s="140" t="s">
        <v>105</v>
      </c>
      <c r="C715" s="140" t="s">
        <v>104</v>
      </c>
      <c r="D715" s="141"/>
      <c r="E715" s="163" t="s">
        <v>127</v>
      </c>
      <c r="F715" s="149">
        <f>3.3*4</f>
        <v>13.2</v>
      </c>
      <c r="G715" s="124">
        <v>0.1</v>
      </c>
      <c r="H715" s="143">
        <f>F715*(1+G715)</f>
        <v>14.52</v>
      </c>
      <c r="I715" s="145" t="s">
        <v>15</v>
      </c>
      <c r="J715" s="37">
        <f>J$151</f>
        <v>0</v>
      </c>
      <c r="K715" s="159">
        <f>J715*H715</f>
        <v>0</v>
      </c>
      <c r="L715" s="160"/>
    </row>
    <row r="716" spans="1:12" s="21" customFormat="1" x14ac:dyDescent="0.2">
      <c r="A716" s="129" t="str">
        <f>IF(F716&lt;&gt;"",1+MAX($A$7:A715),"")</f>
        <v/>
      </c>
      <c r="B716" s="140"/>
      <c r="C716" s="140"/>
      <c r="D716" s="141"/>
      <c r="E716" s="163"/>
      <c r="F716" s="149"/>
      <c r="G716" s="124"/>
      <c r="H716" s="143"/>
      <c r="I716" s="145"/>
      <c r="J716" s="37"/>
      <c r="K716" s="159"/>
      <c r="L716" s="160"/>
    </row>
    <row r="717" spans="1:12" s="21" customFormat="1" x14ac:dyDescent="0.2">
      <c r="A717" s="129" t="str">
        <f>IF(F717&lt;&gt;"",1+MAX($A$7:A716),"")</f>
        <v/>
      </c>
      <c r="B717" s="140"/>
      <c r="C717" s="140"/>
      <c r="D717" s="141"/>
      <c r="E717" s="158" t="s">
        <v>145</v>
      </c>
      <c r="F717" s="149"/>
      <c r="G717" s="144"/>
      <c r="H717" s="143"/>
      <c r="I717" s="145"/>
      <c r="J717" s="37"/>
      <c r="K717" s="159"/>
      <c r="L717" s="160"/>
    </row>
    <row r="718" spans="1:12" s="21" customFormat="1" x14ac:dyDescent="0.2">
      <c r="A718" s="129">
        <f>IF(F718&lt;&gt;"",1+MAX($A$7:A717),"")</f>
        <v>259</v>
      </c>
      <c r="B718" s="140" t="s">
        <v>105</v>
      </c>
      <c r="C718" s="140" t="s">
        <v>104</v>
      </c>
      <c r="D718" s="149"/>
      <c r="E718" s="163" t="s">
        <v>115</v>
      </c>
      <c r="F718" s="149">
        <f>40.5*9</f>
        <v>364.5</v>
      </c>
      <c r="G718" s="124">
        <v>0.1</v>
      </c>
      <c r="H718" s="143">
        <f>F718*(1+G718)</f>
        <v>400.95000000000005</v>
      </c>
      <c r="I718" s="145" t="s">
        <v>18</v>
      </c>
      <c r="J718" s="37">
        <f>J$143</f>
        <v>0</v>
      </c>
      <c r="K718" s="159">
        <f>J718*H718</f>
        <v>0</v>
      </c>
      <c r="L718" s="160"/>
    </row>
    <row r="719" spans="1:12" s="21" customFormat="1" x14ac:dyDescent="0.2">
      <c r="A719" s="129" t="str">
        <f>IF(F719&lt;&gt;"",1+MAX($A$7:A718),"")</f>
        <v/>
      </c>
      <c r="B719" s="140"/>
      <c r="C719" s="140"/>
      <c r="D719" s="141"/>
      <c r="E719" s="165" t="s">
        <v>41</v>
      </c>
      <c r="F719" s="166"/>
      <c r="G719" s="167"/>
      <c r="H719" s="143">
        <f>ROUNDUP((H718)/32,0)</f>
        <v>13</v>
      </c>
      <c r="I719" s="145" t="s">
        <v>42</v>
      </c>
      <c r="J719" s="37"/>
      <c r="K719" s="159"/>
      <c r="L719" s="160"/>
    </row>
    <row r="720" spans="1:12" s="21" customFormat="1" x14ac:dyDescent="0.2">
      <c r="A720" s="129" t="str">
        <f>IF(F720&lt;&gt;"",1+MAX($A$7:A719),"")</f>
        <v/>
      </c>
      <c r="B720" s="140"/>
      <c r="C720" s="140"/>
      <c r="D720" s="141"/>
      <c r="E720" s="165" t="s">
        <v>43</v>
      </c>
      <c r="F720" s="166"/>
      <c r="G720" s="167"/>
      <c r="H720" s="143">
        <f>ROUNDUP(H719*24/500,0)</f>
        <v>1</v>
      </c>
      <c r="I720" s="145" t="s">
        <v>44</v>
      </c>
      <c r="J720" s="37"/>
      <c r="K720" s="159"/>
      <c r="L720" s="160"/>
    </row>
    <row r="721" spans="1:12" s="21" customFormat="1" x14ac:dyDescent="0.2">
      <c r="A721" s="129" t="str">
        <f>IF(F721&lt;&gt;"",1+MAX($A$7:A720),"")</f>
        <v/>
      </c>
      <c r="B721" s="140"/>
      <c r="C721" s="140"/>
      <c r="D721" s="141"/>
      <c r="E721" s="165" t="s">
        <v>45</v>
      </c>
      <c r="F721" s="166"/>
      <c r="G721" s="167"/>
      <c r="H721" s="168">
        <f>ROUNDUP((H718)/200,0)</f>
        <v>3</v>
      </c>
      <c r="I721" s="145" t="s">
        <v>46</v>
      </c>
      <c r="J721" s="37"/>
      <c r="K721" s="159"/>
      <c r="L721" s="160"/>
    </row>
    <row r="722" spans="1:12" s="21" customFormat="1" x14ac:dyDescent="0.2">
      <c r="A722" s="129" t="str">
        <f>IF(F722&lt;&gt;"",1+MAX($A$7:A721),"")</f>
        <v/>
      </c>
      <c r="B722" s="140"/>
      <c r="C722" s="140"/>
      <c r="D722" s="141"/>
      <c r="E722" s="165" t="s">
        <v>47</v>
      </c>
      <c r="F722" s="166"/>
      <c r="G722" s="167"/>
      <c r="H722" s="168">
        <f>ROUNDUP((H718)*5.25/1000,0)</f>
        <v>3</v>
      </c>
      <c r="I722" s="145" t="s">
        <v>48</v>
      </c>
      <c r="J722" s="37"/>
      <c r="K722" s="159"/>
      <c r="L722" s="160"/>
    </row>
    <row r="723" spans="1:12" s="21" customFormat="1" x14ac:dyDescent="0.2">
      <c r="A723" s="129">
        <f>IF(F723&lt;&gt;"",1+MAX($A$7:A722),"")</f>
        <v>260</v>
      </c>
      <c r="B723" s="140" t="s">
        <v>105</v>
      </c>
      <c r="C723" s="140" t="s">
        <v>104</v>
      </c>
      <c r="D723" s="149"/>
      <c r="E723" s="163" t="s">
        <v>101</v>
      </c>
      <c r="F723" s="149">
        <f>148.5*9</f>
        <v>1336.5</v>
      </c>
      <c r="G723" s="124">
        <v>0.1</v>
      </c>
      <c r="H723" s="143">
        <f>F723*(1+G723)</f>
        <v>1470.15</v>
      </c>
      <c r="I723" s="145" t="s">
        <v>18</v>
      </c>
      <c r="J723" s="37">
        <f>J$160</f>
        <v>0</v>
      </c>
      <c r="K723" s="159">
        <f>J723*H723</f>
        <v>0</v>
      </c>
      <c r="L723" s="160"/>
    </row>
    <row r="724" spans="1:12" s="21" customFormat="1" x14ac:dyDescent="0.2">
      <c r="A724" s="129" t="str">
        <f>IF(F724&lt;&gt;"",1+MAX($A$7:A723),"")</f>
        <v/>
      </c>
      <c r="B724" s="140"/>
      <c r="C724" s="140"/>
      <c r="D724" s="141"/>
      <c r="E724" s="165" t="s">
        <v>41</v>
      </c>
      <c r="F724" s="166"/>
      <c r="G724" s="167"/>
      <c r="H724" s="143">
        <f>ROUNDUP((H723)/32,0)</f>
        <v>46</v>
      </c>
      <c r="I724" s="145" t="s">
        <v>42</v>
      </c>
      <c r="J724" s="37"/>
      <c r="K724" s="159"/>
      <c r="L724" s="160"/>
    </row>
    <row r="725" spans="1:12" s="21" customFormat="1" x14ac:dyDescent="0.2">
      <c r="A725" s="129" t="str">
        <f>IF(F725&lt;&gt;"",1+MAX($A$7:A724),"")</f>
        <v/>
      </c>
      <c r="B725" s="140"/>
      <c r="C725" s="140"/>
      <c r="D725" s="141"/>
      <c r="E725" s="165" t="s">
        <v>43</v>
      </c>
      <c r="F725" s="166"/>
      <c r="G725" s="167"/>
      <c r="H725" s="143">
        <f>ROUNDUP(H724*24/500,0)</f>
        <v>3</v>
      </c>
      <c r="I725" s="145" t="s">
        <v>44</v>
      </c>
      <c r="J725" s="37"/>
      <c r="K725" s="159"/>
      <c r="L725" s="160"/>
    </row>
    <row r="726" spans="1:12" s="21" customFormat="1" x14ac:dyDescent="0.2">
      <c r="A726" s="129" t="str">
        <f>IF(F726&lt;&gt;"",1+MAX($A$7:A725),"")</f>
        <v/>
      </c>
      <c r="B726" s="140"/>
      <c r="C726" s="140"/>
      <c r="D726" s="141"/>
      <c r="E726" s="165" t="s">
        <v>45</v>
      </c>
      <c r="F726" s="166"/>
      <c r="G726" s="167"/>
      <c r="H726" s="168">
        <f>ROUNDUP((H723)/200,0)</f>
        <v>8</v>
      </c>
      <c r="I726" s="145" t="s">
        <v>46</v>
      </c>
      <c r="J726" s="37"/>
      <c r="K726" s="159"/>
      <c r="L726" s="160"/>
    </row>
    <row r="727" spans="1:12" s="21" customFormat="1" x14ac:dyDescent="0.2">
      <c r="A727" s="129" t="str">
        <f>IF(F727&lt;&gt;"",1+MAX($A$7:A726),"")</f>
        <v/>
      </c>
      <c r="B727" s="140"/>
      <c r="C727" s="140"/>
      <c r="D727" s="141"/>
      <c r="E727" s="165" t="s">
        <v>47</v>
      </c>
      <c r="F727" s="166"/>
      <c r="G727" s="167"/>
      <c r="H727" s="168">
        <f>ROUNDUP((H723)*5.25/1000,0)</f>
        <v>8</v>
      </c>
      <c r="I727" s="145" t="s">
        <v>48</v>
      </c>
      <c r="J727" s="37"/>
      <c r="K727" s="159"/>
      <c r="L727" s="160"/>
    </row>
    <row r="728" spans="1:12" s="21" customFormat="1" x14ac:dyDescent="0.2">
      <c r="A728" s="129">
        <f>IF(F728&lt;&gt;"",1+MAX($A$7:A727),"")</f>
        <v>261</v>
      </c>
      <c r="B728" s="140" t="s">
        <v>105</v>
      </c>
      <c r="C728" s="140" t="s">
        <v>104</v>
      </c>
      <c r="D728" s="141"/>
      <c r="E728" s="163" t="s">
        <v>102</v>
      </c>
      <c r="F728" s="149">
        <f>189*2</f>
        <v>378</v>
      </c>
      <c r="G728" s="124">
        <v>0.1</v>
      </c>
      <c r="H728" s="143">
        <f>F728*(1+G728)</f>
        <v>415.8</v>
      </c>
      <c r="I728" s="145" t="s">
        <v>15</v>
      </c>
      <c r="J728" s="37">
        <f>J$148</f>
        <v>0</v>
      </c>
      <c r="K728" s="159">
        <f>J728*H728</f>
        <v>0</v>
      </c>
      <c r="L728" s="160"/>
    </row>
    <row r="729" spans="1:12" s="21" customFormat="1" x14ac:dyDescent="0.2">
      <c r="A729" s="129" t="str">
        <f>IF(F729&lt;&gt;"",1+MAX($A$7:A728),"")</f>
        <v/>
      </c>
      <c r="B729" s="140"/>
      <c r="C729" s="140"/>
      <c r="D729" s="141"/>
      <c r="E729" s="163"/>
      <c r="F729" s="149"/>
      <c r="G729" s="124"/>
      <c r="H729" s="143"/>
      <c r="I729" s="145"/>
      <c r="J729" s="37"/>
      <c r="K729" s="159"/>
      <c r="L729" s="160"/>
    </row>
    <row r="730" spans="1:12" s="21" customFormat="1" x14ac:dyDescent="0.2">
      <c r="A730" s="129" t="str">
        <f>IF(F730&lt;&gt;"",1+MAX($A$7:A729),"")</f>
        <v/>
      </c>
      <c r="B730" s="140"/>
      <c r="C730" s="140"/>
      <c r="D730" s="141"/>
      <c r="E730" s="158" t="s">
        <v>151</v>
      </c>
      <c r="F730" s="149"/>
      <c r="G730" s="144"/>
      <c r="H730" s="143"/>
      <c r="I730" s="145"/>
      <c r="J730" s="37"/>
      <c r="K730" s="159"/>
      <c r="L730" s="160"/>
    </row>
    <row r="731" spans="1:12" s="21" customFormat="1" x14ac:dyDescent="0.2">
      <c r="A731" s="129">
        <f>IF(F731&lt;&gt;"",1+MAX($A$7:A730),"")</f>
        <v>262</v>
      </c>
      <c r="B731" s="140" t="s">
        <v>105</v>
      </c>
      <c r="C731" s="140" t="s">
        <v>147</v>
      </c>
      <c r="D731" s="149"/>
      <c r="E731" s="163" t="s">
        <v>115</v>
      </c>
      <c r="F731" s="149">
        <f>911.7*9</f>
        <v>8205.3000000000011</v>
      </c>
      <c r="G731" s="124">
        <v>0.1</v>
      </c>
      <c r="H731" s="143">
        <f>F731*(1+G731)</f>
        <v>9025.8300000000017</v>
      </c>
      <c r="I731" s="145" t="s">
        <v>18</v>
      </c>
      <c r="J731" s="37">
        <f>J$143</f>
        <v>0</v>
      </c>
      <c r="K731" s="159">
        <f>J731*H731</f>
        <v>0</v>
      </c>
      <c r="L731" s="160"/>
    </row>
    <row r="732" spans="1:12" s="21" customFormat="1" x14ac:dyDescent="0.2">
      <c r="A732" s="129" t="str">
        <f>IF(F732&lt;&gt;"",1+MAX($A$7:A731),"")</f>
        <v/>
      </c>
      <c r="B732" s="140"/>
      <c r="C732" s="140"/>
      <c r="D732" s="141"/>
      <c r="E732" s="165" t="s">
        <v>41</v>
      </c>
      <c r="F732" s="166"/>
      <c r="G732" s="167"/>
      <c r="H732" s="143">
        <f>ROUNDUP((H731)/32,0)</f>
        <v>283</v>
      </c>
      <c r="I732" s="145" t="s">
        <v>42</v>
      </c>
      <c r="J732" s="37"/>
      <c r="K732" s="159"/>
      <c r="L732" s="160"/>
    </row>
    <row r="733" spans="1:12" s="21" customFormat="1" x14ac:dyDescent="0.2">
      <c r="A733" s="129" t="str">
        <f>IF(F733&lt;&gt;"",1+MAX($A$7:A732),"")</f>
        <v/>
      </c>
      <c r="B733" s="140"/>
      <c r="C733" s="140"/>
      <c r="D733" s="141"/>
      <c r="E733" s="165" t="s">
        <v>43</v>
      </c>
      <c r="F733" s="166"/>
      <c r="G733" s="167"/>
      <c r="H733" s="143">
        <f>ROUNDUP(H732*24/500,0)</f>
        <v>14</v>
      </c>
      <c r="I733" s="145" t="s">
        <v>44</v>
      </c>
      <c r="J733" s="37"/>
      <c r="K733" s="159"/>
      <c r="L733" s="160"/>
    </row>
    <row r="734" spans="1:12" s="21" customFormat="1" x14ac:dyDescent="0.2">
      <c r="A734" s="129" t="str">
        <f>IF(F734&lt;&gt;"",1+MAX($A$7:A733),"")</f>
        <v/>
      </c>
      <c r="B734" s="140"/>
      <c r="C734" s="140"/>
      <c r="D734" s="141"/>
      <c r="E734" s="165" t="s">
        <v>45</v>
      </c>
      <c r="F734" s="166"/>
      <c r="G734" s="167"/>
      <c r="H734" s="168">
        <f>ROUNDUP((H731)/200,0)</f>
        <v>46</v>
      </c>
      <c r="I734" s="145" t="s">
        <v>46</v>
      </c>
      <c r="J734" s="37"/>
      <c r="K734" s="159"/>
      <c r="L734" s="160"/>
    </row>
    <row r="735" spans="1:12" s="21" customFormat="1" x14ac:dyDescent="0.2">
      <c r="A735" s="129" t="str">
        <f>IF(F735&lt;&gt;"",1+MAX($A$7:A734),"")</f>
        <v/>
      </c>
      <c r="B735" s="140"/>
      <c r="C735" s="140"/>
      <c r="D735" s="141"/>
      <c r="E735" s="165" t="s">
        <v>47</v>
      </c>
      <c r="F735" s="166"/>
      <c r="G735" s="167"/>
      <c r="H735" s="168">
        <f>ROUNDUP((H731)*5.25/1000,0)</f>
        <v>48</v>
      </c>
      <c r="I735" s="145" t="s">
        <v>48</v>
      </c>
      <c r="J735" s="37"/>
      <c r="K735" s="159"/>
      <c r="L735" s="160"/>
    </row>
    <row r="736" spans="1:12" s="21" customFormat="1" x14ac:dyDescent="0.2">
      <c r="A736" s="129">
        <f>IF(F736&lt;&gt;"",1+MAX($A$7:A735),"")</f>
        <v>263</v>
      </c>
      <c r="B736" s="140" t="s">
        <v>105</v>
      </c>
      <c r="C736" s="140" t="s">
        <v>147</v>
      </c>
      <c r="D736" s="141"/>
      <c r="E736" s="163" t="s">
        <v>102</v>
      </c>
      <c r="F736" s="149">
        <f>911.7*2</f>
        <v>1823.4</v>
      </c>
      <c r="G736" s="124">
        <v>0.1</v>
      </c>
      <c r="H736" s="143">
        <f>F736*(1+G736)</f>
        <v>2005.7400000000002</v>
      </c>
      <c r="I736" s="145" t="s">
        <v>15</v>
      </c>
      <c r="J736" s="37">
        <f>J$148</f>
        <v>0</v>
      </c>
      <c r="K736" s="159">
        <f>J736*H736</f>
        <v>0</v>
      </c>
      <c r="L736" s="160"/>
    </row>
    <row r="737" spans="1:12" s="21" customFormat="1" x14ac:dyDescent="0.2">
      <c r="A737" s="129">
        <f>IF(F737&lt;&gt;"",1+MAX($A$7:A736),"")</f>
        <v>264</v>
      </c>
      <c r="B737" s="140" t="s">
        <v>105</v>
      </c>
      <c r="C737" s="140" t="s">
        <v>147</v>
      </c>
      <c r="D737" s="149"/>
      <c r="E737" s="163" t="s">
        <v>349</v>
      </c>
      <c r="F737" s="149">
        <f>911.7*9</f>
        <v>8205.3000000000011</v>
      </c>
      <c r="G737" s="124">
        <v>0.1</v>
      </c>
      <c r="H737" s="143">
        <f>F737*(1+G737)</f>
        <v>9025.8300000000017</v>
      </c>
      <c r="I737" s="145" t="s">
        <v>18</v>
      </c>
      <c r="J737" s="37">
        <f>J$276</f>
        <v>0</v>
      </c>
      <c r="K737" s="159">
        <f>J737*H737</f>
        <v>0</v>
      </c>
      <c r="L737" s="160"/>
    </row>
    <row r="738" spans="1:12" s="21" customFormat="1" x14ac:dyDescent="0.2">
      <c r="A738" s="129">
        <f>IF(F738&lt;&gt;"",1+MAX($A$7:A737),"")</f>
        <v>265</v>
      </c>
      <c r="B738" s="140" t="s">
        <v>105</v>
      </c>
      <c r="C738" s="140" t="s">
        <v>147</v>
      </c>
      <c r="D738" s="149"/>
      <c r="E738" s="163" t="s">
        <v>149</v>
      </c>
      <c r="F738" s="149">
        <f>911.7*10.25</f>
        <v>9344.9250000000011</v>
      </c>
      <c r="G738" s="124">
        <v>0.1</v>
      </c>
      <c r="H738" s="143">
        <f>F738*(1+G738)</f>
        <v>10279.417500000001</v>
      </c>
      <c r="I738" s="145" t="s">
        <v>18</v>
      </c>
      <c r="J738" s="37">
        <f>J$442</f>
        <v>0</v>
      </c>
      <c r="K738" s="159">
        <f>J738*H738</f>
        <v>0</v>
      </c>
      <c r="L738" s="160"/>
    </row>
    <row r="739" spans="1:12" s="21" customFormat="1" x14ac:dyDescent="0.2">
      <c r="A739" s="129" t="str">
        <f>IF(F739&lt;&gt;"",1+MAX($A$7:A738),"")</f>
        <v/>
      </c>
      <c r="B739" s="140"/>
      <c r="C739" s="140"/>
      <c r="D739" s="141"/>
      <c r="E739" s="163"/>
      <c r="F739" s="149"/>
      <c r="G739" s="124"/>
      <c r="H739" s="143"/>
      <c r="I739" s="145"/>
      <c r="J739" s="37"/>
      <c r="K739" s="159"/>
      <c r="L739" s="160"/>
    </row>
    <row r="740" spans="1:12" s="21" customFormat="1" x14ac:dyDescent="0.2">
      <c r="A740" s="129" t="str">
        <f>IF(F740&lt;&gt;"",1+MAX($A$7:A739),"")</f>
        <v/>
      </c>
      <c r="B740" s="140"/>
      <c r="C740" s="140"/>
      <c r="D740" s="141"/>
      <c r="E740" s="158" t="s">
        <v>152</v>
      </c>
      <c r="F740" s="149"/>
      <c r="G740" s="144"/>
      <c r="H740" s="143"/>
      <c r="I740" s="145"/>
      <c r="J740" s="37"/>
      <c r="K740" s="159"/>
      <c r="L740" s="160"/>
    </row>
    <row r="741" spans="1:12" s="21" customFormat="1" x14ac:dyDescent="0.2">
      <c r="A741" s="129">
        <f>IF(F741&lt;&gt;"",1+MAX($A$7:A740),"")</f>
        <v>266</v>
      </c>
      <c r="B741" s="140" t="s">
        <v>105</v>
      </c>
      <c r="C741" s="140" t="s">
        <v>147</v>
      </c>
      <c r="D741" s="149"/>
      <c r="E741" s="163" t="s">
        <v>133</v>
      </c>
      <c r="F741" s="149">
        <f>46*9*2</f>
        <v>828</v>
      </c>
      <c r="G741" s="124">
        <v>0.1</v>
      </c>
      <c r="H741" s="143">
        <f>F741*(1+G741)</f>
        <v>910.80000000000007</v>
      </c>
      <c r="I741" s="145" t="s">
        <v>18</v>
      </c>
      <c r="J741" s="37">
        <f>J$143</f>
        <v>0</v>
      </c>
      <c r="K741" s="159">
        <f>J741*H741</f>
        <v>0</v>
      </c>
      <c r="L741" s="160"/>
    </row>
    <row r="742" spans="1:12" s="21" customFormat="1" x14ac:dyDescent="0.2">
      <c r="A742" s="129" t="str">
        <f>IF(F742&lt;&gt;"",1+MAX($A$7:A741),"")</f>
        <v/>
      </c>
      <c r="B742" s="140"/>
      <c r="C742" s="140"/>
      <c r="D742" s="141"/>
      <c r="E742" s="165" t="s">
        <v>41</v>
      </c>
      <c r="F742" s="166"/>
      <c r="G742" s="167"/>
      <c r="H742" s="143">
        <f>ROUNDUP((H741)/32,0)</f>
        <v>29</v>
      </c>
      <c r="I742" s="145" t="s">
        <v>42</v>
      </c>
      <c r="J742" s="37"/>
      <c r="K742" s="159"/>
      <c r="L742" s="160"/>
    </row>
    <row r="743" spans="1:12" s="21" customFormat="1" x14ac:dyDescent="0.2">
      <c r="A743" s="129" t="str">
        <f>IF(F743&lt;&gt;"",1+MAX($A$7:A742),"")</f>
        <v/>
      </c>
      <c r="B743" s="140"/>
      <c r="C743" s="140"/>
      <c r="D743" s="141"/>
      <c r="E743" s="165" t="s">
        <v>43</v>
      </c>
      <c r="F743" s="166"/>
      <c r="G743" s="167"/>
      <c r="H743" s="143">
        <f>ROUNDUP(H742*24/500,0)</f>
        <v>2</v>
      </c>
      <c r="I743" s="145" t="s">
        <v>44</v>
      </c>
      <c r="J743" s="37"/>
      <c r="K743" s="159"/>
      <c r="L743" s="160"/>
    </row>
    <row r="744" spans="1:12" s="21" customFormat="1" x14ac:dyDescent="0.2">
      <c r="A744" s="129" t="str">
        <f>IF(F744&lt;&gt;"",1+MAX($A$7:A743),"")</f>
        <v/>
      </c>
      <c r="B744" s="140"/>
      <c r="C744" s="140"/>
      <c r="D744" s="141"/>
      <c r="E744" s="165" t="s">
        <v>45</v>
      </c>
      <c r="F744" s="166"/>
      <c r="G744" s="167"/>
      <c r="H744" s="168">
        <f>ROUNDUP((H741)/200,0)</f>
        <v>5</v>
      </c>
      <c r="I744" s="145" t="s">
        <v>46</v>
      </c>
      <c r="J744" s="37"/>
      <c r="K744" s="159"/>
      <c r="L744" s="160"/>
    </row>
    <row r="745" spans="1:12" s="21" customFormat="1" x14ac:dyDescent="0.2">
      <c r="A745" s="129" t="str">
        <f>IF(F745&lt;&gt;"",1+MAX($A$7:A744),"")</f>
        <v/>
      </c>
      <c r="B745" s="140"/>
      <c r="C745" s="140"/>
      <c r="D745" s="141"/>
      <c r="E745" s="165" t="s">
        <v>47</v>
      </c>
      <c r="F745" s="166"/>
      <c r="G745" s="167"/>
      <c r="H745" s="168">
        <f>ROUNDUP((H741)*5.25/1000,0)</f>
        <v>5</v>
      </c>
      <c r="I745" s="145" t="s">
        <v>48</v>
      </c>
      <c r="J745" s="37"/>
      <c r="K745" s="159"/>
      <c r="L745" s="160"/>
    </row>
    <row r="746" spans="1:12" s="21" customFormat="1" x14ac:dyDescent="0.2">
      <c r="A746" s="129">
        <f>IF(F746&lt;&gt;"",1+MAX($A$7:A745),"")</f>
        <v>267</v>
      </c>
      <c r="B746" s="140" t="s">
        <v>105</v>
      </c>
      <c r="C746" s="140" t="s">
        <v>147</v>
      </c>
      <c r="D746" s="141"/>
      <c r="E746" s="163" t="s">
        <v>102</v>
      </c>
      <c r="F746" s="149">
        <f>46*2</f>
        <v>92</v>
      </c>
      <c r="G746" s="124">
        <v>0.1</v>
      </c>
      <c r="H746" s="143">
        <f>F746*(1+G746)</f>
        <v>101.2</v>
      </c>
      <c r="I746" s="145" t="s">
        <v>15</v>
      </c>
      <c r="J746" s="37">
        <f>J$148</f>
        <v>0</v>
      </c>
      <c r="K746" s="159">
        <f>J746*H746</f>
        <v>0</v>
      </c>
      <c r="L746" s="160"/>
    </row>
    <row r="747" spans="1:12" s="21" customFormat="1" x14ac:dyDescent="0.2">
      <c r="A747" s="129">
        <f>IF(F747&lt;&gt;"",1+MAX($A$7:A746),"")</f>
        <v>268</v>
      </c>
      <c r="B747" s="140" t="s">
        <v>105</v>
      </c>
      <c r="C747" s="140" t="s">
        <v>147</v>
      </c>
      <c r="D747" s="149"/>
      <c r="E747" s="163" t="s">
        <v>349</v>
      </c>
      <c r="F747" s="149">
        <f>46*9</f>
        <v>414</v>
      </c>
      <c r="G747" s="124">
        <v>0.1</v>
      </c>
      <c r="H747" s="143">
        <f>F747*(1+G747)</f>
        <v>455.40000000000003</v>
      </c>
      <c r="I747" s="145" t="s">
        <v>18</v>
      </c>
      <c r="J747" s="37">
        <f>J$276</f>
        <v>0</v>
      </c>
      <c r="K747" s="159">
        <f>J747*H747</f>
        <v>0</v>
      </c>
      <c r="L747" s="160"/>
    </row>
    <row r="748" spans="1:12" s="21" customFormat="1" x14ac:dyDescent="0.2">
      <c r="A748" s="129">
        <f>IF(F748&lt;&gt;"",1+MAX($A$7:A747),"")</f>
        <v>269</v>
      </c>
      <c r="B748" s="140" t="s">
        <v>105</v>
      </c>
      <c r="C748" s="140" t="s">
        <v>147</v>
      </c>
      <c r="D748" s="149"/>
      <c r="E748" s="163" t="s">
        <v>149</v>
      </c>
      <c r="F748" s="149">
        <f>46*11</f>
        <v>506</v>
      </c>
      <c r="G748" s="124">
        <v>0.1</v>
      </c>
      <c r="H748" s="143">
        <f>F748*(1+G748)</f>
        <v>556.6</v>
      </c>
      <c r="I748" s="145" t="s">
        <v>18</v>
      </c>
      <c r="J748" s="37">
        <f>J$442</f>
        <v>0</v>
      </c>
      <c r="K748" s="159">
        <f>J748*H748</f>
        <v>0</v>
      </c>
      <c r="L748" s="160"/>
    </row>
    <row r="749" spans="1:12" s="21" customFormat="1" x14ac:dyDescent="0.2">
      <c r="A749" s="129" t="str">
        <f>IF(F749&lt;&gt;"",1+MAX($A$7:A748),"")</f>
        <v/>
      </c>
      <c r="B749" s="140"/>
      <c r="C749" s="140"/>
      <c r="D749" s="141"/>
      <c r="E749" s="163"/>
      <c r="F749" s="149"/>
      <c r="G749" s="124"/>
      <c r="H749" s="143"/>
      <c r="I749" s="145"/>
      <c r="J749" s="37"/>
      <c r="K749" s="159"/>
      <c r="L749" s="160"/>
    </row>
    <row r="750" spans="1:12" s="21" customFormat="1" x14ac:dyDescent="0.2">
      <c r="A750" s="129" t="str">
        <f>IF(F750&lt;&gt;"",1+MAX($A$7:A749),"")</f>
        <v/>
      </c>
      <c r="B750" s="140"/>
      <c r="C750" s="140"/>
      <c r="D750" s="141"/>
      <c r="E750" s="158" t="s">
        <v>199</v>
      </c>
      <c r="F750" s="149"/>
      <c r="G750" s="144"/>
      <c r="H750" s="143"/>
      <c r="I750" s="145"/>
      <c r="J750" s="37"/>
      <c r="K750" s="159"/>
      <c r="L750" s="160"/>
    </row>
    <row r="751" spans="1:12" s="21" customFormat="1" x14ac:dyDescent="0.2">
      <c r="A751" s="129">
        <f>IF(F751&lt;&gt;"",1+MAX($A$7:A750),"")</f>
        <v>270</v>
      </c>
      <c r="B751" s="140" t="s">
        <v>105</v>
      </c>
      <c r="C751" s="140" t="s">
        <v>200</v>
      </c>
      <c r="D751" s="149"/>
      <c r="E751" s="163" t="s">
        <v>149</v>
      </c>
      <c r="F751" s="149">
        <f>136.8*5.25+10.3*2.83</f>
        <v>747.34900000000005</v>
      </c>
      <c r="G751" s="124">
        <v>0.1</v>
      </c>
      <c r="H751" s="143">
        <f>F751*(1+G751)</f>
        <v>822.08390000000009</v>
      </c>
      <c r="I751" s="145" t="s">
        <v>18</v>
      </c>
      <c r="J751" s="37">
        <f>J$442</f>
        <v>0</v>
      </c>
      <c r="K751" s="159">
        <f>J751*H751</f>
        <v>0</v>
      </c>
      <c r="L751" s="160"/>
    </row>
    <row r="752" spans="1:12" s="21" customFormat="1" x14ac:dyDescent="0.2">
      <c r="A752" s="129">
        <f>IF(F752&lt;&gt;"",1+MAX($A$7:A751),"")</f>
        <v>271</v>
      </c>
      <c r="B752" s="140" t="s">
        <v>105</v>
      </c>
      <c r="C752" s="140" t="s">
        <v>200</v>
      </c>
      <c r="D752" s="149"/>
      <c r="E752" s="163" t="s">
        <v>349</v>
      </c>
      <c r="F752" s="149">
        <f>136.8*5.25+10.3*2.83</f>
        <v>747.34900000000005</v>
      </c>
      <c r="G752" s="124">
        <v>0.1</v>
      </c>
      <c r="H752" s="143">
        <f>F752*(1+G752)</f>
        <v>822.08390000000009</v>
      </c>
      <c r="I752" s="145" t="s">
        <v>18</v>
      </c>
      <c r="J752" s="37">
        <f>J$276</f>
        <v>0</v>
      </c>
      <c r="K752" s="159">
        <f>J752*H752</f>
        <v>0</v>
      </c>
      <c r="L752" s="160"/>
    </row>
    <row r="753" spans="1:12" s="21" customFormat="1" x14ac:dyDescent="0.2">
      <c r="A753" s="129" t="str">
        <f>IF(F753&lt;&gt;"",1+MAX($A$7:A752),"")</f>
        <v/>
      </c>
      <c r="B753" s="140"/>
      <c r="C753" s="140"/>
      <c r="D753" s="141"/>
      <c r="E753" s="163"/>
      <c r="F753" s="149"/>
      <c r="G753" s="124"/>
      <c r="H753" s="143"/>
      <c r="I753" s="145"/>
      <c r="J753" s="37"/>
      <c r="K753" s="159"/>
      <c r="L753" s="160"/>
    </row>
    <row r="754" spans="1:12" s="21" customFormat="1" x14ac:dyDescent="0.2">
      <c r="A754" s="129" t="str">
        <f>IF(F754&lt;&gt;"",1+MAX($A$7:A753),"")</f>
        <v/>
      </c>
      <c r="B754" s="140"/>
      <c r="C754" s="140"/>
      <c r="D754" s="141"/>
      <c r="E754" s="164" t="s">
        <v>201</v>
      </c>
      <c r="F754" s="149"/>
      <c r="G754" s="144"/>
      <c r="H754" s="143"/>
      <c r="I754" s="145"/>
      <c r="J754" s="37"/>
      <c r="K754" s="159"/>
      <c r="L754" s="160"/>
    </row>
    <row r="755" spans="1:12" s="21" customFormat="1" x14ac:dyDescent="0.2">
      <c r="A755" s="129" t="str">
        <f>IF(F755&lt;&gt;"",1+MAX($A$7:A754),"")</f>
        <v/>
      </c>
      <c r="B755" s="140"/>
      <c r="C755" s="140"/>
      <c r="D755" s="141"/>
      <c r="E755" s="158" t="s">
        <v>103</v>
      </c>
      <c r="F755" s="149"/>
      <c r="G755" s="144"/>
      <c r="H755" s="143"/>
      <c r="I755" s="145"/>
      <c r="J755" s="37"/>
      <c r="K755" s="159"/>
      <c r="L755" s="160"/>
    </row>
    <row r="756" spans="1:12" s="21" customFormat="1" x14ac:dyDescent="0.2">
      <c r="A756" s="129">
        <f>IF(F756&lt;&gt;"",1+MAX($A$7:A755),"")</f>
        <v>272</v>
      </c>
      <c r="B756" s="140" t="s">
        <v>105</v>
      </c>
      <c r="C756" s="140" t="s">
        <v>104</v>
      </c>
      <c r="D756" s="149"/>
      <c r="E756" s="163" t="s">
        <v>100</v>
      </c>
      <c r="F756" s="149">
        <f>110.6*9*2+46.5*9</f>
        <v>2409.3000000000002</v>
      </c>
      <c r="G756" s="124">
        <v>0.1</v>
      </c>
      <c r="H756" s="143">
        <f>F756*(1+G756)</f>
        <v>2650.2300000000005</v>
      </c>
      <c r="I756" s="145" t="s">
        <v>18</v>
      </c>
      <c r="J756" s="37">
        <f>J$143</f>
        <v>0</v>
      </c>
      <c r="K756" s="159">
        <f>J756*H756</f>
        <v>0</v>
      </c>
      <c r="L756" s="160"/>
    </row>
    <row r="757" spans="1:12" s="21" customFormat="1" x14ac:dyDescent="0.2">
      <c r="A757" s="129" t="str">
        <f>IF(F757&lt;&gt;"",1+MAX($A$7:A756),"")</f>
        <v/>
      </c>
      <c r="B757" s="140"/>
      <c r="C757" s="140"/>
      <c r="D757" s="141"/>
      <c r="E757" s="165" t="s">
        <v>41</v>
      </c>
      <c r="F757" s="166"/>
      <c r="G757" s="167"/>
      <c r="H757" s="143">
        <f>ROUNDUP((H756)/32,0)</f>
        <v>83</v>
      </c>
      <c r="I757" s="145" t="s">
        <v>42</v>
      </c>
      <c r="J757" s="37"/>
      <c r="K757" s="159"/>
      <c r="L757" s="160"/>
    </row>
    <row r="758" spans="1:12" s="21" customFormat="1" x14ac:dyDescent="0.2">
      <c r="A758" s="129" t="str">
        <f>IF(F758&lt;&gt;"",1+MAX($A$7:A757),"")</f>
        <v/>
      </c>
      <c r="B758" s="140"/>
      <c r="C758" s="140"/>
      <c r="D758" s="141"/>
      <c r="E758" s="165" t="s">
        <v>43</v>
      </c>
      <c r="F758" s="166"/>
      <c r="G758" s="167"/>
      <c r="H758" s="143">
        <f>ROUNDUP(H757*24/500,0)</f>
        <v>4</v>
      </c>
      <c r="I758" s="145" t="s">
        <v>44</v>
      </c>
      <c r="J758" s="37"/>
      <c r="K758" s="159"/>
      <c r="L758" s="160"/>
    </row>
    <row r="759" spans="1:12" s="21" customFormat="1" x14ac:dyDescent="0.2">
      <c r="A759" s="129" t="str">
        <f>IF(F759&lt;&gt;"",1+MAX($A$7:A758),"")</f>
        <v/>
      </c>
      <c r="B759" s="140"/>
      <c r="C759" s="140"/>
      <c r="D759" s="141"/>
      <c r="E759" s="165" t="s">
        <v>45</v>
      </c>
      <c r="F759" s="166"/>
      <c r="G759" s="167"/>
      <c r="H759" s="168">
        <f>ROUNDUP((H756)/200,0)</f>
        <v>14</v>
      </c>
      <c r="I759" s="145" t="s">
        <v>46</v>
      </c>
      <c r="J759" s="37"/>
      <c r="K759" s="159"/>
      <c r="L759" s="160"/>
    </row>
    <row r="760" spans="1:12" s="21" customFormat="1" x14ac:dyDescent="0.2">
      <c r="A760" s="129" t="str">
        <f>IF(F760&lt;&gt;"",1+MAX($A$7:A759),"")</f>
        <v/>
      </c>
      <c r="B760" s="140"/>
      <c r="C760" s="140"/>
      <c r="D760" s="141"/>
      <c r="E760" s="165" t="s">
        <v>47</v>
      </c>
      <c r="F760" s="166"/>
      <c r="G760" s="167"/>
      <c r="H760" s="168">
        <f>ROUNDUP((H756)*5.25/1000,0)</f>
        <v>14</v>
      </c>
      <c r="I760" s="145" t="s">
        <v>48</v>
      </c>
      <c r="J760" s="37"/>
      <c r="K760" s="159"/>
      <c r="L760" s="160"/>
    </row>
    <row r="761" spans="1:12" s="21" customFormat="1" x14ac:dyDescent="0.2">
      <c r="A761" s="129">
        <f>IF(F761&lt;&gt;"",1+MAX($A$7:A760),"")</f>
        <v>273</v>
      </c>
      <c r="B761" s="140" t="s">
        <v>105</v>
      </c>
      <c r="C761" s="140" t="s">
        <v>104</v>
      </c>
      <c r="D761" s="149"/>
      <c r="E761" s="163" t="s">
        <v>101</v>
      </c>
      <c r="F761" s="149">
        <f>46.5*9</f>
        <v>418.5</v>
      </c>
      <c r="G761" s="124">
        <v>0.1</v>
      </c>
      <c r="H761" s="143">
        <f>F761*(1+G761)</f>
        <v>460.35</v>
      </c>
      <c r="I761" s="145" t="s">
        <v>18</v>
      </c>
      <c r="J761" s="37">
        <f>J$160</f>
        <v>0</v>
      </c>
      <c r="K761" s="159">
        <f>J761*H761</f>
        <v>0</v>
      </c>
      <c r="L761" s="160"/>
    </row>
    <row r="762" spans="1:12" s="21" customFormat="1" x14ac:dyDescent="0.2">
      <c r="A762" s="129" t="str">
        <f>IF(F762&lt;&gt;"",1+MAX($A$7:A761),"")</f>
        <v/>
      </c>
      <c r="B762" s="140"/>
      <c r="C762" s="140"/>
      <c r="D762" s="141"/>
      <c r="E762" s="165" t="s">
        <v>41</v>
      </c>
      <c r="F762" s="166"/>
      <c r="G762" s="167"/>
      <c r="H762" s="143">
        <f>ROUNDUP((H761)/32,0)</f>
        <v>15</v>
      </c>
      <c r="I762" s="145" t="s">
        <v>42</v>
      </c>
      <c r="J762" s="37"/>
      <c r="K762" s="159"/>
      <c r="L762" s="160"/>
    </row>
    <row r="763" spans="1:12" s="21" customFormat="1" x14ac:dyDescent="0.2">
      <c r="A763" s="129" t="str">
        <f>IF(F763&lt;&gt;"",1+MAX($A$7:A762),"")</f>
        <v/>
      </c>
      <c r="B763" s="140"/>
      <c r="C763" s="140"/>
      <c r="D763" s="141"/>
      <c r="E763" s="165" t="s">
        <v>43</v>
      </c>
      <c r="F763" s="166"/>
      <c r="G763" s="167"/>
      <c r="H763" s="143">
        <f>ROUNDUP(H762*24/500,0)</f>
        <v>1</v>
      </c>
      <c r="I763" s="145" t="s">
        <v>44</v>
      </c>
      <c r="J763" s="37"/>
      <c r="K763" s="159"/>
      <c r="L763" s="160"/>
    </row>
    <row r="764" spans="1:12" s="21" customFormat="1" x14ac:dyDescent="0.2">
      <c r="A764" s="129" t="str">
        <f>IF(F764&lt;&gt;"",1+MAX($A$7:A763),"")</f>
        <v/>
      </c>
      <c r="B764" s="140"/>
      <c r="C764" s="140"/>
      <c r="D764" s="141"/>
      <c r="E764" s="165" t="s">
        <v>45</v>
      </c>
      <c r="F764" s="166"/>
      <c r="G764" s="167"/>
      <c r="H764" s="168">
        <f>ROUNDUP((H761)/200,0)</f>
        <v>3</v>
      </c>
      <c r="I764" s="145" t="s">
        <v>46</v>
      </c>
      <c r="J764" s="37"/>
      <c r="K764" s="159"/>
      <c r="L764" s="160"/>
    </row>
    <row r="765" spans="1:12" s="21" customFormat="1" x14ac:dyDescent="0.2">
      <c r="A765" s="129" t="str">
        <f>IF(F765&lt;&gt;"",1+MAX($A$7:A764),"")</f>
        <v/>
      </c>
      <c r="B765" s="140"/>
      <c r="C765" s="140"/>
      <c r="D765" s="141"/>
      <c r="E765" s="165" t="s">
        <v>47</v>
      </c>
      <c r="F765" s="166"/>
      <c r="G765" s="167"/>
      <c r="H765" s="168">
        <f>ROUNDUP((H761)*5.25/1000,0)</f>
        <v>3</v>
      </c>
      <c r="I765" s="145" t="s">
        <v>48</v>
      </c>
      <c r="J765" s="37"/>
      <c r="K765" s="159"/>
      <c r="L765" s="160"/>
    </row>
    <row r="766" spans="1:12" s="21" customFormat="1" x14ac:dyDescent="0.2">
      <c r="A766" s="129">
        <f>IF(F766&lt;&gt;"",1+MAX($A$7:A765),"")</f>
        <v>274</v>
      </c>
      <c r="B766" s="140" t="s">
        <v>105</v>
      </c>
      <c r="C766" s="140" t="s">
        <v>104</v>
      </c>
      <c r="D766" s="141"/>
      <c r="E766" s="163" t="s">
        <v>102</v>
      </c>
      <c r="F766" s="149">
        <f>157.1*4</f>
        <v>628.4</v>
      </c>
      <c r="G766" s="124">
        <v>0.1</v>
      </c>
      <c r="H766" s="143">
        <f>F766*(1+G766)</f>
        <v>691.24</v>
      </c>
      <c r="I766" s="145" t="s">
        <v>15</v>
      </c>
      <c r="J766" s="37">
        <f>J$148</f>
        <v>0</v>
      </c>
      <c r="K766" s="159">
        <f>J766*H766</f>
        <v>0</v>
      </c>
      <c r="L766" s="160"/>
    </row>
    <row r="767" spans="1:12" s="21" customFormat="1" x14ac:dyDescent="0.2">
      <c r="A767" s="129" t="str">
        <f>IF(F767&lt;&gt;"",1+MAX($A$7:A766),"")</f>
        <v/>
      </c>
      <c r="B767" s="140"/>
      <c r="C767" s="140"/>
      <c r="D767" s="141"/>
      <c r="E767" s="163"/>
      <c r="F767" s="149"/>
      <c r="G767" s="124"/>
      <c r="H767" s="143"/>
      <c r="I767" s="145"/>
      <c r="J767" s="37"/>
      <c r="K767" s="159"/>
      <c r="L767" s="160"/>
    </row>
    <row r="768" spans="1:12" s="21" customFormat="1" x14ac:dyDescent="0.2">
      <c r="A768" s="129" t="str">
        <f>IF(F768&lt;&gt;"",1+MAX($A$7:A767),"")</f>
        <v/>
      </c>
      <c r="B768" s="140"/>
      <c r="C768" s="140"/>
      <c r="D768" s="141"/>
      <c r="E768" s="158" t="s">
        <v>106</v>
      </c>
      <c r="F768" s="149"/>
      <c r="G768" s="144"/>
      <c r="H768" s="143"/>
      <c r="I768" s="145"/>
      <c r="J768" s="37"/>
      <c r="K768" s="159"/>
      <c r="L768" s="160"/>
    </row>
    <row r="769" spans="1:12" s="21" customFormat="1" x14ac:dyDescent="0.2">
      <c r="A769" s="129">
        <f>IF(F769&lt;&gt;"",1+MAX($A$7:A768),"")</f>
        <v>275</v>
      </c>
      <c r="B769" s="140" t="s">
        <v>105</v>
      </c>
      <c r="C769" s="140" t="s">
        <v>104</v>
      </c>
      <c r="D769" s="149"/>
      <c r="E769" s="163" t="s">
        <v>100</v>
      </c>
      <c r="F769" s="149">
        <f>1333.3*9*2+345.6*9+17.4*3.5*2</f>
        <v>27231.599999999999</v>
      </c>
      <c r="G769" s="124">
        <v>0.1</v>
      </c>
      <c r="H769" s="143">
        <f>F769*(1+G769)</f>
        <v>29954.760000000002</v>
      </c>
      <c r="I769" s="145" t="s">
        <v>18</v>
      </c>
      <c r="J769" s="37">
        <f>J$143</f>
        <v>0</v>
      </c>
      <c r="K769" s="159">
        <f>J769*H769</f>
        <v>0</v>
      </c>
      <c r="L769" s="160"/>
    </row>
    <row r="770" spans="1:12" s="21" customFormat="1" x14ac:dyDescent="0.2">
      <c r="A770" s="129" t="str">
        <f>IF(F770&lt;&gt;"",1+MAX($A$7:A769),"")</f>
        <v/>
      </c>
      <c r="B770" s="140"/>
      <c r="C770" s="140"/>
      <c r="D770" s="141"/>
      <c r="E770" s="165" t="s">
        <v>41</v>
      </c>
      <c r="F770" s="166"/>
      <c r="G770" s="167"/>
      <c r="H770" s="143">
        <f>ROUNDUP((H769)/32,0)</f>
        <v>937</v>
      </c>
      <c r="I770" s="145" t="s">
        <v>42</v>
      </c>
      <c r="J770" s="37"/>
      <c r="K770" s="159"/>
      <c r="L770" s="160"/>
    </row>
    <row r="771" spans="1:12" s="21" customFormat="1" x14ac:dyDescent="0.2">
      <c r="A771" s="129" t="str">
        <f>IF(F771&lt;&gt;"",1+MAX($A$7:A770),"")</f>
        <v/>
      </c>
      <c r="B771" s="140"/>
      <c r="C771" s="140"/>
      <c r="D771" s="141"/>
      <c r="E771" s="165" t="s">
        <v>43</v>
      </c>
      <c r="F771" s="166"/>
      <c r="G771" s="167"/>
      <c r="H771" s="143">
        <f>ROUNDUP(H770*24/500,0)</f>
        <v>45</v>
      </c>
      <c r="I771" s="145" t="s">
        <v>44</v>
      </c>
      <c r="J771" s="37"/>
      <c r="K771" s="159"/>
      <c r="L771" s="160"/>
    </row>
    <row r="772" spans="1:12" s="21" customFormat="1" x14ac:dyDescent="0.2">
      <c r="A772" s="129" t="str">
        <f>IF(F772&lt;&gt;"",1+MAX($A$7:A771),"")</f>
        <v/>
      </c>
      <c r="B772" s="140"/>
      <c r="C772" s="140"/>
      <c r="D772" s="141"/>
      <c r="E772" s="165" t="s">
        <v>45</v>
      </c>
      <c r="F772" s="166"/>
      <c r="G772" s="167"/>
      <c r="H772" s="168">
        <f>ROUNDUP((H769)/200,0)</f>
        <v>150</v>
      </c>
      <c r="I772" s="145" t="s">
        <v>46</v>
      </c>
      <c r="J772" s="37"/>
      <c r="K772" s="159"/>
      <c r="L772" s="160"/>
    </row>
    <row r="773" spans="1:12" s="21" customFormat="1" x14ac:dyDescent="0.2">
      <c r="A773" s="129" t="str">
        <f>IF(F773&lt;&gt;"",1+MAX($A$7:A772),"")</f>
        <v/>
      </c>
      <c r="B773" s="140"/>
      <c r="C773" s="140"/>
      <c r="D773" s="141"/>
      <c r="E773" s="165" t="s">
        <v>47</v>
      </c>
      <c r="F773" s="166"/>
      <c r="G773" s="167"/>
      <c r="H773" s="168">
        <f>ROUNDUP((H769)*5.25/1000,0)</f>
        <v>158</v>
      </c>
      <c r="I773" s="145" t="s">
        <v>48</v>
      </c>
      <c r="J773" s="37"/>
      <c r="K773" s="159"/>
      <c r="L773" s="160"/>
    </row>
    <row r="774" spans="1:12" s="21" customFormat="1" x14ac:dyDescent="0.2">
      <c r="A774" s="129">
        <f>IF(F774&lt;&gt;"",1+MAX($A$7:A773),"")</f>
        <v>276</v>
      </c>
      <c r="B774" s="140" t="s">
        <v>105</v>
      </c>
      <c r="C774" s="140" t="s">
        <v>104</v>
      </c>
      <c r="D774" s="149"/>
      <c r="E774" s="163" t="s">
        <v>101</v>
      </c>
      <c r="F774" s="149">
        <f>345.6*9</f>
        <v>3110.4</v>
      </c>
      <c r="G774" s="124">
        <v>0.1</v>
      </c>
      <c r="H774" s="143">
        <f>F774*(1+G774)</f>
        <v>3421.4400000000005</v>
      </c>
      <c r="I774" s="145" t="s">
        <v>18</v>
      </c>
      <c r="J774" s="37">
        <f>J$160</f>
        <v>0</v>
      </c>
      <c r="K774" s="159">
        <f>J774*H774</f>
        <v>0</v>
      </c>
      <c r="L774" s="160"/>
    </row>
    <row r="775" spans="1:12" s="21" customFormat="1" x14ac:dyDescent="0.2">
      <c r="A775" s="129" t="str">
        <f>IF(F775&lt;&gt;"",1+MAX($A$7:A774),"")</f>
        <v/>
      </c>
      <c r="B775" s="140"/>
      <c r="C775" s="140"/>
      <c r="D775" s="141"/>
      <c r="E775" s="165" t="s">
        <v>41</v>
      </c>
      <c r="F775" s="166"/>
      <c r="G775" s="167"/>
      <c r="H775" s="143">
        <f>ROUNDUP((H774)/32,0)</f>
        <v>107</v>
      </c>
      <c r="I775" s="145" t="s">
        <v>42</v>
      </c>
      <c r="J775" s="37"/>
      <c r="K775" s="159"/>
      <c r="L775" s="160"/>
    </row>
    <row r="776" spans="1:12" s="21" customFormat="1" x14ac:dyDescent="0.2">
      <c r="A776" s="129" t="str">
        <f>IF(F776&lt;&gt;"",1+MAX($A$7:A775),"")</f>
        <v/>
      </c>
      <c r="B776" s="140"/>
      <c r="C776" s="140"/>
      <c r="D776" s="141"/>
      <c r="E776" s="165" t="s">
        <v>43</v>
      </c>
      <c r="F776" s="166"/>
      <c r="G776" s="167"/>
      <c r="H776" s="143">
        <f>ROUNDUP(H775*24/500,0)</f>
        <v>6</v>
      </c>
      <c r="I776" s="145" t="s">
        <v>44</v>
      </c>
      <c r="J776" s="37"/>
      <c r="K776" s="159"/>
      <c r="L776" s="160"/>
    </row>
    <row r="777" spans="1:12" s="21" customFormat="1" x14ac:dyDescent="0.2">
      <c r="A777" s="129" t="str">
        <f>IF(F777&lt;&gt;"",1+MAX($A$7:A776),"")</f>
        <v/>
      </c>
      <c r="B777" s="140"/>
      <c r="C777" s="140"/>
      <c r="D777" s="141"/>
      <c r="E777" s="165" t="s">
        <v>45</v>
      </c>
      <c r="F777" s="166"/>
      <c r="G777" s="167"/>
      <c r="H777" s="168">
        <f>ROUNDUP((H774)/200,0)</f>
        <v>18</v>
      </c>
      <c r="I777" s="145" t="s">
        <v>46</v>
      </c>
      <c r="J777" s="37"/>
      <c r="K777" s="159"/>
      <c r="L777" s="160"/>
    </row>
    <row r="778" spans="1:12" s="21" customFormat="1" x14ac:dyDescent="0.2">
      <c r="A778" s="129" t="str">
        <f>IF(F778&lt;&gt;"",1+MAX($A$7:A777),"")</f>
        <v/>
      </c>
      <c r="B778" s="140"/>
      <c r="C778" s="140"/>
      <c r="D778" s="141"/>
      <c r="E778" s="165" t="s">
        <v>47</v>
      </c>
      <c r="F778" s="166"/>
      <c r="G778" s="167"/>
      <c r="H778" s="168">
        <f>ROUNDUP((H774)*5.25/1000,0)</f>
        <v>18</v>
      </c>
      <c r="I778" s="145" t="s">
        <v>48</v>
      </c>
      <c r="J778" s="37"/>
      <c r="K778" s="159"/>
      <c r="L778" s="160"/>
    </row>
    <row r="779" spans="1:12" s="21" customFormat="1" x14ac:dyDescent="0.2">
      <c r="A779" s="129">
        <f>IF(F779&lt;&gt;"",1+MAX($A$7:A778),"")</f>
        <v>277</v>
      </c>
      <c r="B779" s="140" t="s">
        <v>105</v>
      </c>
      <c r="C779" s="140" t="s">
        <v>104</v>
      </c>
      <c r="D779" s="141"/>
      <c r="E779" s="163" t="s">
        <v>102</v>
      </c>
      <c r="F779" s="149">
        <f>1678.9*4+17.4*4</f>
        <v>6785.2000000000007</v>
      </c>
      <c r="G779" s="124">
        <v>0.1</v>
      </c>
      <c r="H779" s="143">
        <f>F779*(1+G779)</f>
        <v>7463.7200000000012</v>
      </c>
      <c r="I779" s="145" t="s">
        <v>15</v>
      </c>
      <c r="J779" s="37">
        <f>J$148</f>
        <v>0</v>
      </c>
      <c r="K779" s="159">
        <f>J779*H779</f>
        <v>0</v>
      </c>
      <c r="L779" s="160"/>
    </row>
    <row r="780" spans="1:12" s="21" customFormat="1" x14ac:dyDescent="0.2">
      <c r="A780" s="129" t="str">
        <f>IF(F780&lt;&gt;"",1+MAX($A$7:A779),"")</f>
        <v/>
      </c>
      <c r="B780" s="140"/>
      <c r="C780" s="140"/>
      <c r="D780" s="141"/>
      <c r="E780" s="163"/>
      <c r="F780" s="149"/>
      <c r="G780" s="124"/>
      <c r="H780" s="143"/>
      <c r="I780" s="145"/>
      <c r="J780" s="37"/>
      <c r="K780" s="159"/>
      <c r="L780" s="160"/>
    </row>
    <row r="781" spans="1:12" s="21" customFormat="1" x14ac:dyDescent="0.2">
      <c r="A781" s="129" t="str">
        <f>IF(F781&lt;&gt;"",1+MAX($A$7:A780),"")</f>
        <v/>
      </c>
      <c r="B781" s="140"/>
      <c r="C781" s="140"/>
      <c r="D781" s="141"/>
      <c r="E781" s="158" t="s">
        <v>107</v>
      </c>
      <c r="F781" s="149"/>
      <c r="G781" s="144"/>
      <c r="H781" s="143"/>
      <c r="I781" s="145"/>
      <c r="J781" s="37"/>
      <c r="K781" s="159"/>
      <c r="L781" s="160"/>
    </row>
    <row r="782" spans="1:12" s="21" customFormat="1" x14ac:dyDescent="0.2">
      <c r="A782" s="129">
        <f>IF(F782&lt;&gt;"",1+MAX($A$7:A781),"")</f>
        <v>278</v>
      </c>
      <c r="B782" s="140" t="s">
        <v>105</v>
      </c>
      <c r="C782" s="140" t="s">
        <v>104</v>
      </c>
      <c r="D782" s="149"/>
      <c r="E782" s="163" t="s">
        <v>100</v>
      </c>
      <c r="F782" s="149">
        <f>8.2*9</f>
        <v>73.8</v>
      </c>
      <c r="G782" s="124">
        <v>0.1</v>
      </c>
      <c r="H782" s="143">
        <f>F782*(1+G782)</f>
        <v>81.180000000000007</v>
      </c>
      <c r="I782" s="145" t="s">
        <v>18</v>
      </c>
      <c r="J782" s="37">
        <f>J$143</f>
        <v>0</v>
      </c>
      <c r="K782" s="159">
        <f>J782*H782</f>
        <v>0</v>
      </c>
      <c r="L782" s="160"/>
    </row>
    <row r="783" spans="1:12" s="21" customFormat="1" x14ac:dyDescent="0.2">
      <c r="A783" s="129" t="str">
        <f>IF(F783&lt;&gt;"",1+MAX($A$7:A782),"")</f>
        <v/>
      </c>
      <c r="B783" s="140"/>
      <c r="C783" s="140"/>
      <c r="D783" s="141"/>
      <c r="E783" s="165" t="s">
        <v>41</v>
      </c>
      <c r="F783" s="166"/>
      <c r="G783" s="167"/>
      <c r="H783" s="143">
        <f>ROUNDUP((H782)/32,0)</f>
        <v>3</v>
      </c>
      <c r="I783" s="145" t="s">
        <v>42</v>
      </c>
      <c r="J783" s="37"/>
      <c r="K783" s="159"/>
      <c r="L783" s="160"/>
    </row>
    <row r="784" spans="1:12" s="21" customFormat="1" x14ac:dyDescent="0.2">
      <c r="A784" s="129" t="str">
        <f>IF(F784&lt;&gt;"",1+MAX($A$7:A783),"")</f>
        <v/>
      </c>
      <c r="B784" s="140"/>
      <c r="C784" s="140"/>
      <c r="D784" s="141"/>
      <c r="E784" s="165" t="s">
        <v>43</v>
      </c>
      <c r="F784" s="166"/>
      <c r="G784" s="167"/>
      <c r="H784" s="143">
        <f>ROUNDUP(H783*24/500,0)</f>
        <v>1</v>
      </c>
      <c r="I784" s="145" t="s">
        <v>44</v>
      </c>
      <c r="J784" s="37"/>
      <c r="K784" s="159"/>
      <c r="L784" s="160"/>
    </row>
    <row r="785" spans="1:12" s="21" customFormat="1" x14ac:dyDescent="0.2">
      <c r="A785" s="129" t="str">
        <f>IF(F785&lt;&gt;"",1+MAX($A$7:A784),"")</f>
        <v/>
      </c>
      <c r="B785" s="140"/>
      <c r="C785" s="140"/>
      <c r="D785" s="141"/>
      <c r="E785" s="165" t="s">
        <v>45</v>
      </c>
      <c r="F785" s="166"/>
      <c r="G785" s="167"/>
      <c r="H785" s="168">
        <f>ROUNDUP((H782)/200,0)</f>
        <v>1</v>
      </c>
      <c r="I785" s="145" t="s">
        <v>46</v>
      </c>
      <c r="J785" s="37"/>
      <c r="K785" s="159"/>
      <c r="L785" s="160"/>
    </row>
    <row r="786" spans="1:12" s="21" customFormat="1" x14ac:dyDescent="0.2">
      <c r="A786" s="129" t="str">
        <f>IF(F786&lt;&gt;"",1+MAX($A$7:A785),"")</f>
        <v/>
      </c>
      <c r="B786" s="140"/>
      <c r="C786" s="140"/>
      <c r="D786" s="141"/>
      <c r="E786" s="165" t="s">
        <v>47</v>
      </c>
      <c r="F786" s="166"/>
      <c r="G786" s="167"/>
      <c r="H786" s="168">
        <f>ROUNDUP((H782)*5.25/1000,0)</f>
        <v>1</v>
      </c>
      <c r="I786" s="145" t="s">
        <v>48</v>
      </c>
      <c r="J786" s="37"/>
      <c r="K786" s="159"/>
      <c r="L786" s="160"/>
    </row>
    <row r="787" spans="1:12" s="21" customFormat="1" x14ac:dyDescent="0.2">
      <c r="A787" s="129">
        <f>IF(F787&lt;&gt;"",1+MAX($A$7:A786),"")</f>
        <v>279</v>
      </c>
      <c r="B787" s="140" t="s">
        <v>105</v>
      </c>
      <c r="C787" s="140" t="s">
        <v>104</v>
      </c>
      <c r="D787" s="149"/>
      <c r="E787" s="163" t="s">
        <v>101</v>
      </c>
      <c r="F787" s="149">
        <f>8.2*9</f>
        <v>73.8</v>
      </c>
      <c r="G787" s="124">
        <v>0.1</v>
      </c>
      <c r="H787" s="143">
        <f>F787*(1+G787)</f>
        <v>81.180000000000007</v>
      </c>
      <c r="I787" s="145" t="s">
        <v>18</v>
      </c>
      <c r="J787" s="37">
        <f>J$160</f>
        <v>0</v>
      </c>
      <c r="K787" s="159">
        <f>J787*H787</f>
        <v>0</v>
      </c>
      <c r="L787" s="160"/>
    </row>
    <row r="788" spans="1:12" s="21" customFormat="1" x14ac:dyDescent="0.2">
      <c r="A788" s="129" t="str">
        <f>IF(F788&lt;&gt;"",1+MAX($A$7:A787),"")</f>
        <v/>
      </c>
      <c r="B788" s="140"/>
      <c r="C788" s="140"/>
      <c r="D788" s="141"/>
      <c r="E788" s="165" t="s">
        <v>41</v>
      </c>
      <c r="F788" s="166"/>
      <c r="G788" s="167"/>
      <c r="H788" s="143">
        <f>ROUNDUP((H787)/32,0)</f>
        <v>3</v>
      </c>
      <c r="I788" s="145" t="s">
        <v>42</v>
      </c>
      <c r="J788" s="37"/>
      <c r="K788" s="159"/>
      <c r="L788" s="160"/>
    </row>
    <row r="789" spans="1:12" s="21" customFormat="1" x14ac:dyDescent="0.2">
      <c r="A789" s="129" t="str">
        <f>IF(F789&lt;&gt;"",1+MAX($A$7:A788),"")</f>
        <v/>
      </c>
      <c r="B789" s="140"/>
      <c r="C789" s="140"/>
      <c r="D789" s="141"/>
      <c r="E789" s="165" t="s">
        <v>43</v>
      </c>
      <c r="F789" s="166"/>
      <c r="G789" s="167"/>
      <c r="H789" s="143">
        <f>ROUNDUP(H788*24/500,0)</f>
        <v>1</v>
      </c>
      <c r="I789" s="145" t="s">
        <v>44</v>
      </c>
      <c r="J789" s="37"/>
      <c r="K789" s="159"/>
      <c r="L789" s="160"/>
    </row>
    <row r="790" spans="1:12" s="21" customFormat="1" x14ac:dyDescent="0.2">
      <c r="A790" s="129" t="str">
        <f>IF(F790&lt;&gt;"",1+MAX($A$7:A789),"")</f>
        <v/>
      </c>
      <c r="B790" s="140"/>
      <c r="C790" s="140"/>
      <c r="D790" s="141"/>
      <c r="E790" s="165" t="s">
        <v>45</v>
      </c>
      <c r="F790" s="166"/>
      <c r="G790" s="167"/>
      <c r="H790" s="168">
        <f>ROUNDUP((H787)/200,0)</f>
        <v>1</v>
      </c>
      <c r="I790" s="145" t="s">
        <v>46</v>
      </c>
      <c r="J790" s="37"/>
      <c r="K790" s="159"/>
      <c r="L790" s="160"/>
    </row>
    <row r="791" spans="1:12" s="21" customFormat="1" x14ac:dyDescent="0.2">
      <c r="A791" s="129" t="str">
        <f>IF(F791&lt;&gt;"",1+MAX($A$7:A790),"")</f>
        <v/>
      </c>
      <c r="B791" s="140"/>
      <c r="C791" s="140"/>
      <c r="D791" s="141"/>
      <c r="E791" s="165" t="s">
        <v>47</v>
      </c>
      <c r="F791" s="166"/>
      <c r="G791" s="167"/>
      <c r="H791" s="168">
        <f>ROUNDUP((H787)*5.25/1000,0)</f>
        <v>1</v>
      </c>
      <c r="I791" s="145" t="s">
        <v>48</v>
      </c>
      <c r="J791" s="37"/>
      <c r="K791" s="159"/>
      <c r="L791" s="160"/>
    </row>
    <row r="792" spans="1:12" s="21" customFormat="1" x14ac:dyDescent="0.2">
      <c r="A792" s="129">
        <f>IF(F792&lt;&gt;"",1+MAX($A$7:A791),"")</f>
        <v>280</v>
      </c>
      <c r="B792" s="140" t="s">
        <v>105</v>
      </c>
      <c r="C792" s="140" t="s">
        <v>104</v>
      </c>
      <c r="D792" s="141"/>
      <c r="E792" s="163" t="s">
        <v>102</v>
      </c>
      <c r="F792" s="149">
        <f>8.2*4</f>
        <v>32.799999999999997</v>
      </c>
      <c r="G792" s="124">
        <v>0.1</v>
      </c>
      <c r="H792" s="143">
        <f>F792*(1+G792)</f>
        <v>36.08</v>
      </c>
      <c r="I792" s="145" t="s">
        <v>15</v>
      </c>
      <c r="J792" s="37">
        <f>J$148</f>
        <v>0</v>
      </c>
      <c r="K792" s="159">
        <f>J792*H792</f>
        <v>0</v>
      </c>
      <c r="L792" s="160"/>
    </row>
    <row r="793" spans="1:12" s="21" customFormat="1" x14ac:dyDescent="0.2">
      <c r="A793" s="129" t="str">
        <f>IF(F793&lt;&gt;"",1+MAX($A$7:A792),"")</f>
        <v/>
      </c>
      <c r="B793" s="140"/>
      <c r="C793" s="140"/>
      <c r="D793" s="141"/>
      <c r="E793" s="163"/>
      <c r="F793" s="149"/>
      <c r="G793" s="124"/>
      <c r="H793" s="143"/>
      <c r="I793" s="145"/>
      <c r="J793" s="37"/>
      <c r="K793" s="159"/>
      <c r="L793" s="160"/>
    </row>
    <row r="794" spans="1:12" s="21" customFormat="1" x14ac:dyDescent="0.2">
      <c r="A794" s="129" t="str">
        <f>IF(F794&lt;&gt;"",1+MAX($A$7:A793),"")</f>
        <v/>
      </c>
      <c r="B794" s="140"/>
      <c r="C794" s="140"/>
      <c r="D794" s="141"/>
      <c r="E794" s="158" t="s">
        <v>108</v>
      </c>
      <c r="F794" s="149"/>
      <c r="G794" s="144"/>
      <c r="H794" s="143"/>
      <c r="I794" s="145"/>
      <c r="J794" s="37"/>
      <c r="K794" s="159"/>
      <c r="L794" s="160"/>
    </row>
    <row r="795" spans="1:12" s="21" customFormat="1" ht="31.5" x14ac:dyDescent="0.2">
      <c r="A795" s="129">
        <f>IF(F795&lt;&gt;"",1+MAX($A$7:A794),"")</f>
        <v>281</v>
      </c>
      <c r="B795" s="140" t="s">
        <v>105</v>
      </c>
      <c r="C795" s="140" t="s">
        <v>104</v>
      </c>
      <c r="D795" s="149"/>
      <c r="E795" s="163" t="s">
        <v>65</v>
      </c>
      <c r="F795" s="149">
        <f>7.4*9*2*2</f>
        <v>266.40000000000003</v>
      </c>
      <c r="G795" s="124">
        <v>0.1</v>
      </c>
      <c r="H795" s="143">
        <f>F795*(1+G795)</f>
        <v>293.04000000000008</v>
      </c>
      <c r="I795" s="145" t="s">
        <v>18</v>
      </c>
      <c r="J795" s="37">
        <f>J$143</f>
        <v>0</v>
      </c>
      <c r="K795" s="159">
        <f>J795*H795</f>
        <v>0</v>
      </c>
      <c r="L795" s="160"/>
    </row>
    <row r="796" spans="1:12" s="21" customFormat="1" x14ac:dyDescent="0.2">
      <c r="A796" s="129" t="str">
        <f>IF(F796&lt;&gt;"",1+MAX($A$7:A795),"")</f>
        <v/>
      </c>
      <c r="B796" s="140"/>
      <c r="C796" s="140"/>
      <c r="D796" s="141"/>
      <c r="E796" s="165" t="s">
        <v>41</v>
      </c>
      <c r="F796" s="166"/>
      <c r="G796" s="167"/>
      <c r="H796" s="143">
        <f>ROUNDUP((H795)/32,0)</f>
        <v>10</v>
      </c>
      <c r="I796" s="145" t="s">
        <v>42</v>
      </c>
      <c r="J796" s="37"/>
      <c r="K796" s="159"/>
      <c r="L796" s="160"/>
    </row>
    <row r="797" spans="1:12" s="21" customFormat="1" x14ac:dyDescent="0.2">
      <c r="A797" s="129" t="str">
        <f>IF(F797&lt;&gt;"",1+MAX($A$7:A796),"")</f>
        <v/>
      </c>
      <c r="B797" s="140"/>
      <c r="C797" s="140"/>
      <c r="D797" s="141"/>
      <c r="E797" s="165" t="s">
        <v>43</v>
      </c>
      <c r="F797" s="166"/>
      <c r="G797" s="167"/>
      <c r="H797" s="143">
        <f>ROUNDUP(H796*24/500,0)</f>
        <v>1</v>
      </c>
      <c r="I797" s="145" t="s">
        <v>44</v>
      </c>
      <c r="J797" s="37"/>
      <c r="K797" s="159"/>
      <c r="L797" s="160"/>
    </row>
    <row r="798" spans="1:12" s="21" customFormat="1" x14ac:dyDescent="0.2">
      <c r="A798" s="129" t="str">
        <f>IF(F798&lt;&gt;"",1+MAX($A$7:A797),"")</f>
        <v/>
      </c>
      <c r="B798" s="140"/>
      <c r="C798" s="140"/>
      <c r="D798" s="141"/>
      <c r="E798" s="165" t="s">
        <v>45</v>
      </c>
      <c r="F798" s="166"/>
      <c r="G798" s="167"/>
      <c r="H798" s="168">
        <f>ROUNDUP((H795)/200,0)</f>
        <v>2</v>
      </c>
      <c r="I798" s="145" t="s">
        <v>46</v>
      </c>
      <c r="J798" s="37"/>
      <c r="K798" s="159"/>
      <c r="L798" s="160"/>
    </row>
    <row r="799" spans="1:12" s="21" customFormat="1" x14ac:dyDescent="0.2">
      <c r="A799" s="129" t="str">
        <f>IF(F799&lt;&gt;"",1+MAX($A$7:A798),"")</f>
        <v/>
      </c>
      <c r="B799" s="140"/>
      <c r="C799" s="140"/>
      <c r="D799" s="141"/>
      <c r="E799" s="165" t="s">
        <v>47</v>
      </c>
      <c r="F799" s="166"/>
      <c r="G799" s="167"/>
      <c r="H799" s="168">
        <f>ROUNDUP((H795)*5.25/1000,0)</f>
        <v>2</v>
      </c>
      <c r="I799" s="145" t="s">
        <v>48</v>
      </c>
      <c r="J799" s="37"/>
      <c r="K799" s="159"/>
      <c r="L799" s="160"/>
    </row>
    <row r="800" spans="1:12" s="21" customFormat="1" x14ac:dyDescent="0.2">
      <c r="A800" s="129">
        <f>IF(F800&lt;&gt;"",1+MAX($A$7:A799),"")</f>
        <v>282</v>
      </c>
      <c r="B800" s="140" t="s">
        <v>105</v>
      </c>
      <c r="C800" s="140" t="s">
        <v>104</v>
      </c>
      <c r="D800" s="141"/>
      <c r="E800" s="163" t="s">
        <v>102</v>
      </c>
      <c r="F800" s="149">
        <f>7.4*4</f>
        <v>29.6</v>
      </c>
      <c r="G800" s="124">
        <v>0.1</v>
      </c>
      <c r="H800" s="143">
        <f>F800*(1+G800)</f>
        <v>32.56</v>
      </c>
      <c r="I800" s="145" t="s">
        <v>15</v>
      </c>
      <c r="J800" s="37">
        <f>J$148</f>
        <v>0</v>
      </c>
      <c r="K800" s="159">
        <f>J800*H800</f>
        <v>0</v>
      </c>
      <c r="L800" s="160"/>
    </row>
    <row r="801" spans="1:12" s="21" customFormat="1" x14ac:dyDescent="0.2">
      <c r="A801" s="129">
        <f>IF(F801&lt;&gt;"",1+MAX($A$7:A800),"")</f>
        <v>283</v>
      </c>
      <c r="B801" s="140" t="s">
        <v>105</v>
      </c>
      <c r="C801" s="140" t="s">
        <v>104</v>
      </c>
      <c r="D801" s="149"/>
      <c r="E801" s="163" t="s">
        <v>109</v>
      </c>
      <c r="F801" s="149">
        <f>7.4*9</f>
        <v>66.600000000000009</v>
      </c>
      <c r="G801" s="124">
        <v>0.1</v>
      </c>
      <c r="H801" s="143">
        <f>F801*(1+G801)</f>
        <v>73.260000000000019</v>
      </c>
      <c r="I801" s="145" t="s">
        <v>18</v>
      </c>
      <c r="J801" s="37">
        <f>J$251</f>
        <v>0</v>
      </c>
      <c r="K801" s="159">
        <f>J801*H801</f>
        <v>0</v>
      </c>
      <c r="L801" s="160"/>
    </row>
    <row r="802" spans="1:12" s="21" customFormat="1" x14ac:dyDescent="0.2">
      <c r="A802" s="129" t="str">
        <f>IF(F802&lt;&gt;"",1+MAX($A$7:A801),"")</f>
        <v/>
      </c>
      <c r="B802" s="140"/>
      <c r="C802" s="140"/>
      <c r="D802" s="141"/>
      <c r="E802" s="163"/>
      <c r="F802" s="149"/>
      <c r="G802" s="124"/>
      <c r="H802" s="143"/>
      <c r="I802" s="145"/>
      <c r="J802" s="37"/>
      <c r="K802" s="159"/>
      <c r="L802" s="160"/>
    </row>
    <row r="803" spans="1:12" s="21" customFormat="1" x14ac:dyDescent="0.2">
      <c r="A803" s="129" t="str">
        <f>IF(F803&lt;&gt;"",1+MAX($A$7:A802),"")</f>
        <v/>
      </c>
      <c r="B803" s="140"/>
      <c r="C803" s="140"/>
      <c r="D803" s="141"/>
      <c r="E803" s="158" t="s">
        <v>110</v>
      </c>
      <c r="F803" s="149"/>
      <c r="G803" s="144"/>
      <c r="H803" s="143"/>
      <c r="I803" s="145"/>
      <c r="J803" s="37"/>
      <c r="K803" s="159"/>
      <c r="L803" s="160"/>
    </row>
    <row r="804" spans="1:12" s="21" customFormat="1" ht="31.5" x14ac:dyDescent="0.2">
      <c r="A804" s="129">
        <f>IF(F804&lt;&gt;"",1+MAX($A$7:A803),"")</f>
        <v>284</v>
      </c>
      <c r="B804" s="140" t="s">
        <v>105</v>
      </c>
      <c r="C804" s="140" t="s">
        <v>104</v>
      </c>
      <c r="D804" s="149"/>
      <c r="E804" s="163" t="s">
        <v>65</v>
      </c>
      <c r="F804" s="149">
        <f>51.5*9*2*2</f>
        <v>1854</v>
      </c>
      <c r="G804" s="124">
        <v>0.1</v>
      </c>
      <c r="H804" s="143">
        <f>F804*(1+G804)</f>
        <v>2039.4</v>
      </c>
      <c r="I804" s="145" t="s">
        <v>18</v>
      </c>
      <c r="J804" s="37">
        <f>J$143</f>
        <v>0</v>
      </c>
      <c r="K804" s="159">
        <f>J804*H804</f>
        <v>0</v>
      </c>
      <c r="L804" s="160"/>
    </row>
    <row r="805" spans="1:12" s="21" customFormat="1" x14ac:dyDescent="0.2">
      <c r="A805" s="129" t="str">
        <f>IF(F805&lt;&gt;"",1+MAX($A$7:A804),"")</f>
        <v/>
      </c>
      <c r="B805" s="140"/>
      <c r="C805" s="140"/>
      <c r="D805" s="141"/>
      <c r="E805" s="165" t="s">
        <v>41</v>
      </c>
      <c r="F805" s="166"/>
      <c r="G805" s="167"/>
      <c r="H805" s="143">
        <f>ROUNDUP((H804)/32,0)</f>
        <v>64</v>
      </c>
      <c r="I805" s="145" t="s">
        <v>42</v>
      </c>
      <c r="J805" s="37"/>
      <c r="K805" s="159"/>
      <c r="L805" s="160"/>
    </row>
    <row r="806" spans="1:12" s="21" customFormat="1" x14ac:dyDescent="0.2">
      <c r="A806" s="129" t="str">
        <f>IF(F806&lt;&gt;"",1+MAX($A$7:A805),"")</f>
        <v/>
      </c>
      <c r="B806" s="140"/>
      <c r="C806" s="140"/>
      <c r="D806" s="141"/>
      <c r="E806" s="165" t="s">
        <v>43</v>
      </c>
      <c r="F806" s="166"/>
      <c r="G806" s="167"/>
      <c r="H806" s="143">
        <f>ROUNDUP(H805*24/500,0)</f>
        <v>4</v>
      </c>
      <c r="I806" s="145" t="s">
        <v>44</v>
      </c>
      <c r="J806" s="37"/>
      <c r="K806" s="159"/>
      <c r="L806" s="160"/>
    </row>
    <row r="807" spans="1:12" s="21" customFormat="1" x14ac:dyDescent="0.2">
      <c r="A807" s="129" t="str">
        <f>IF(F807&lt;&gt;"",1+MAX($A$7:A806),"")</f>
        <v/>
      </c>
      <c r="B807" s="140"/>
      <c r="C807" s="140"/>
      <c r="D807" s="141"/>
      <c r="E807" s="165" t="s">
        <v>45</v>
      </c>
      <c r="F807" s="166"/>
      <c r="G807" s="167"/>
      <c r="H807" s="168">
        <f>ROUNDUP((H804)/200,0)</f>
        <v>11</v>
      </c>
      <c r="I807" s="145" t="s">
        <v>46</v>
      </c>
      <c r="J807" s="37"/>
      <c r="K807" s="159"/>
      <c r="L807" s="160"/>
    </row>
    <row r="808" spans="1:12" s="21" customFormat="1" x14ac:dyDescent="0.2">
      <c r="A808" s="129" t="str">
        <f>IF(F808&lt;&gt;"",1+MAX($A$7:A807),"")</f>
        <v/>
      </c>
      <c r="B808" s="140"/>
      <c r="C808" s="140"/>
      <c r="D808" s="141"/>
      <c r="E808" s="165" t="s">
        <v>47</v>
      </c>
      <c r="F808" s="166"/>
      <c r="G808" s="167"/>
      <c r="H808" s="168">
        <f>ROUNDUP((H804)*5.25/1000,0)</f>
        <v>11</v>
      </c>
      <c r="I808" s="145" t="s">
        <v>48</v>
      </c>
      <c r="J808" s="37"/>
      <c r="K808" s="159"/>
      <c r="L808" s="160"/>
    </row>
    <row r="809" spans="1:12" s="21" customFormat="1" x14ac:dyDescent="0.2">
      <c r="A809" s="129">
        <f>IF(F809&lt;&gt;"",1+MAX($A$7:A808),"")</f>
        <v>285</v>
      </c>
      <c r="B809" s="140" t="s">
        <v>105</v>
      </c>
      <c r="C809" s="140" t="s">
        <v>104</v>
      </c>
      <c r="D809" s="141"/>
      <c r="E809" s="163" t="s">
        <v>102</v>
      </c>
      <c r="F809" s="149">
        <f>51.5*4</f>
        <v>206</v>
      </c>
      <c r="G809" s="124">
        <v>0.1</v>
      </c>
      <c r="H809" s="143">
        <f>F809*(1+G809)</f>
        <v>226.60000000000002</v>
      </c>
      <c r="I809" s="145" t="s">
        <v>15</v>
      </c>
      <c r="J809" s="37">
        <f>J$148</f>
        <v>0</v>
      </c>
      <c r="K809" s="159">
        <f>J809*H809</f>
        <v>0</v>
      </c>
      <c r="L809" s="160"/>
    </row>
    <row r="810" spans="1:12" s="21" customFormat="1" x14ac:dyDescent="0.2">
      <c r="A810" s="129">
        <f>IF(F810&lt;&gt;"",1+MAX($A$7:A809),"")</f>
        <v>286</v>
      </c>
      <c r="B810" s="140" t="s">
        <v>105</v>
      </c>
      <c r="C810" s="140" t="s">
        <v>104</v>
      </c>
      <c r="D810" s="149"/>
      <c r="E810" s="163" t="s">
        <v>111</v>
      </c>
      <c r="F810" s="149">
        <f>51.5*9</f>
        <v>463.5</v>
      </c>
      <c r="G810" s="124">
        <v>0.1</v>
      </c>
      <c r="H810" s="143">
        <f>F810*(1+G810)</f>
        <v>509.85</v>
      </c>
      <c r="I810" s="145" t="s">
        <v>18</v>
      </c>
      <c r="J810" s="37">
        <f>J$187</f>
        <v>0</v>
      </c>
      <c r="K810" s="159">
        <f>J810*H810</f>
        <v>0</v>
      </c>
      <c r="L810" s="160"/>
    </row>
    <row r="811" spans="1:12" s="21" customFormat="1" x14ac:dyDescent="0.2">
      <c r="A811" s="129" t="str">
        <f>IF(F811&lt;&gt;"",1+MAX($A$7:A810),"")</f>
        <v/>
      </c>
      <c r="B811" s="140"/>
      <c r="C811" s="140"/>
      <c r="D811" s="141"/>
      <c r="E811" s="163"/>
      <c r="F811" s="149"/>
      <c r="G811" s="124"/>
      <c r="H811" s="143"/>
      <c r="I811" s="145"/>
      <c r="J811" s="37"/>
      <c r="K811" s="159"/>
      <c r="L811" s="160"/>
    </row>
    <row r="812" spans="1:12" s="21" customFormat="1" x14ac:dyDescent="0.2">
      <c r="A812" s="129" t="str">
        <f>IF(F812&lt;&gt;"",1+MAX($A$7:A811),"")</f>
        <v/>
      </c>
      <c r="B812" s="140"/>
      <c r="C812" s="140"/>
      <c r="D812" s="141"/>
      <c r="E812" s="158" t="s">
        <v>113</v>
      </c>
      <c r="F812" s="149"/>
      <c r="G812" s="144"/>
      <c r="H812" s="143"/>
      <c r="I812" s="145"/>
      <c r="J812" s="37"/>
      <c r="K812" s="159"/>
      <c r="L812" s="160"/>
    </row>
    <row r="813" spans="1:12" s="21" customFormat="1" ht="31.5" x14ac:dyDescent="0.2">
      <c r="A813" s="129">
        <f>IF(F813&lt;&gt;"",1+MAX($A$7:A812),"")</f>
        <v>287</v>
      </c>
      <c r="B813" s="140" t="s">
        <v>105</v>
      </c>
      <c r="C813" s="140" t="s">
        <v>104</v>
      </c>
      <c r="D813" s="149"/>
      <c r="E813" s="163" t="s">
        <v>65</v>
      </c>
      <c r="F813" s="149">
        <f>11.3*9*3</f>
        <v>305.10000000000002</v>
      </c>
      <c r="G813" s="124">
        <v>0.1</v>
      </c>
      <c r="H813" s="143">
        <f>F813*(1+G813)</f>
        <v>335.61000000000007</v>
      </c>
      <c r="I813" s="145" t="s">
        <v>18</v>
      </c>
      <c r="J813" s="37">
        <f>J$143</f>
        <v>0</v>
      </c>
      <c r="K813" s="159">
        <f>J813*H813</f>
        <v>0</v>
      </c>
      <c r="L813" s="160"/>
    </row>
    <row r="814" spans="1:12" s="21" customFormat="1" x14ac:dyDescent="0.2">
      <c r="A814" s="129" t="str">
        <f>IF(F814&lt;&gt;"",1+MAX($A$7:A813),"")</f>
        <v/>
      </c>
      <c r="B814" s="140"/>
      <c r="C814" s="140"/>
      <c r="D814" s="141"/>
      <c r="E814" s="165" t="s">
        <v>41</v>
      </c>
      <c r="F814" s="166"/>
      <c r="G814" s="167"/>
      <c r="H814" s="143">
        <f>ROUNDUP((H813)/32,0)</f>
        <v>11</v>
      </c>
      <c r="I814" s="145" t="s">
        <v>42</v>
      </c>
      <c r="J814" s="37"/>
      <c r="K814" s="159"/>
      <c r="L814" s="160"/>
    </row>
    <row r="815" spans="1:12" s="21" customFormat="1" x14ac:dyDescent="0.2">
      <c r="A815" s="129" t="str">
        <f>IF(F815&lt;&gt;"",1+MAX($A$7:A814),"")</f>
        <v/>
      </c>
      <c r="B815" s="140"/>
      <c r="C815" s="140"/>
      <c r="D815" s="141"/>
      <c r="E815" s="165" t="s">
        <v>43</v>
      </c>
      <c r="F815" s="166"/>
      <c r="G815" s="167"/>
      <c r="H815" s="143">
        <f>ROUNDUP(H814*24/500,0)</f>
        <v>1</v>
      </c>
      <c r="I815" s="145" t="s">
        <v>44</v>
      </c>
      <c r="J815" s="37"/>
      <c r="K815" s="159"/>
      <c r="L815" s="160"/>
    </row>
    <row r="816" spans="1:12" s="21" customFormat="1" x14ac:dyDescent="0.2">
      <c r="A816" s="129" t="str">
        <f>IF(F816&lt;&gt;"",1+MAX($A$7:A815),"")</f>
        <v/>
      </c>
      <c r="B816" s="140"/>
      <c r="C816" s="140"/>
      <c r="D816" s="141"/>
      <c r="E816" s="165" t="s">
        <v>45</v>
      </c>
      <c r="F816" s="166"/>
      <c r="G816" s="167"/>
      <c r="H816" s="168">
        <f>ROUNDUP((H813)/200,0)</f>
        <v>2</v>
      </c>
      <c r="I816" s="145" t="s">
        <v>46</v>
      </c>
      <c r="J816" s="37"/>
      <c r="K816" s="159"/>
      <c r="L816" s="160"/>
    </row>
    <row r="817" spans="1:12" s="21" customFormat="1" x14ac:dyDescent="0.2">
      <c r="A817" s="129" t="str">
        <f>IF(F817&lt;&gt;"",1+MAX($A$7:A816),"")</f>
        <v/>
      </c>
      <c r="B817" s="140"/>
      <c r="C817" s="140"/>
      <c r="D817" s="141"/>
      <c r="E817" s="165" t="s">
        <v>47</v>
      </c>
      <c r="F817" s="166"/>
      <c r="G817" s="167"/>
      <c r="H817" s="168">
        <f>ROUNDUP((H813)*5.25/1000,0)</f>
        <v>2</v>
      </c>
      <c r="I817" s="145" t="s">
        <v>48</v>
      </c>
      <c r="J817" s="37"/>
      <c r="K817" s="159"/>
      <c r="L817" s="160"/>
    </row>
    <row r="818" spans="1:12" s="21" customFormat="1" x14ac:dyDescent="0.2">
      <c r="A818" s="129">
        <f>IF(F818&lt;&gt;"",1+MAX($A$7:A817),"")</f>
        <v>288</v>
      </c>
      <c r="B818" s="140" t="s">
        <v>105</v>
      </c>
      <c r="C818" s="140" t="s">
        <v>104</v>
      </c>
      <c r="D818" s="149"/>
      <c r="E818" s="163" t="s">
        <v>101</v>
      </c>
      <c r="F818" s="149">
        <f>11.3*9</f>
        <v>101.7</v>
      </c>
      <c r="G818" s="124">
        <v>0.1</v>
      </c>
      <c r="H818" s="143">
        <f>F818*(1+G818)</f>
        <v>111.87000000000002</v>
      </c>
      <c r="I818" s="145" t="s">
        <v>18</v>
      </c>
      <c r="J818" s="37">
        <f>J$160</f>
        <v>0</v>
      </c>
      <c r="K818" s="159">
        <f>J818*H818</f>
        <v>0</v>
      </c>
      <c r="L818" s="160"/>
    </row>
    <row r="819" spans="1:12" s="21" customFormat="1" x14ac:dyDescent="0.2">
      <c r="A819" s="129" t="str">
        <f>IF(F819&lt;&gt;"",1+MAX($A$7:A818),"")</f>
        <v/>
      </c>
      <c r="B819" s="140"/>
      <c r="C819" s="140"/>
      <c r="D819" s="141"/>
      <c r="E819" s="165" t="s">
        <v>41</v>
      </c>
      <c r="F819" s="166"/>
      <c r="G819" s="167"/>
      <c r="H819" s="143">
        <f>ROUNDUP((H818)/32,0)</f>
        <v>4</v>
      </c>
      <c r="I819" s="145" t="s">
        <v>42</v>
      </c>
      <c r="J819" s="37"/>
      <c r="K819" s="159"/>
      <c r="L819" s="160"/>
    </row>
    <row r="820" spans="1:12" s="21" customFormat="1" x14ac:dyDescent="0.2">
      <c r="A820" s="129" t="str">
        <f>IF(F820&lt;&gt;"",1+MAX($A$7:A819),"")</f>
        <v/>
      </c>
      <c r="B820" s="140"/>
      <c r="C820" s="140"/>
      <c r="D820" s="141"/>
      <c r="E820" s="165" t="s">
        <v>43</v>
      </c>
      <c r="F820" s="166"/>
      <c r="G820" s="167"/>
      <c r="H820" s="143">
        <f>ROUNDUP(H819*24/500,0)</f>
        <v>1</v>
      </c>
      <c r="I820" s="145" t="s">
        <v>44</v>
      </c>
      <c r="J820" s="37"/>
      <c r="K820" s="159"/>
      <c r="L820" s="160"/>
    </row>
    <row r="821" spans="1:12" s="21" customFormat="1" x14ac:dyDescent="0.2">
      <c r="A821" s="129" t="str">
        <f>IF(F821&lt;&gt;"",1+MAX($A$7:A820),"")</f>
        <v/>
      </c>
      <c r="B821" s="140"/>
      <c r="C821" s="140"/>
      <c r="D821" s="141"/>
      <c r="E821" s="165" t="s">
        <v>45</v>
      </c>
      <c r="F821" s="166"/>
      <c r="G821" s="167"/>
      <c r="H821" s="168">
        <f>ROUNDUP((H818)/200,0)</f>
        <v>1</v>
      </c>
      <c r="I821" s="145" t="s">
        <v>46</v>
      </c>
      <c r="J821" s="37"/>
      <c r="K821" s="159"/>
      <c r="L821" s="160"/>
    </row>
    <row r="822" spans="1:12" s="21" customFormat="1" x14ac:dyDescent="0.2">
      <c r="A822" s="129" t="str">
        <f>IF(F822&lt;&gt;"",1+MAX($A$7:A821),"")</f>
        <v/>
      </c>
      <c r="B822" s="140"/>
      <c r="C822" s="140"/>
      <c r="D822" s="141"/>
      <c r="E822" s="165" t="s">
        <v>47</v>
      </c>
      <c r="F822" s="166"/>
      <c r="G822" s="167"/>
      <c r="H822" s="168">
        <f>ROUNDUP((H818)*5.25/1000,0)</f>
        <v>1</v>
      </c>
      <c r="I822" s="145" t="s">
        <v>48</v>
      </c>
      <c r="J822" s="37"/>
      <c r="K822" s="159"/>
      <c r="L822" s="160"/>
    </row>
    <row r="823" spans="1:12" s="21" customFormat="1" x14ac:dyDescent="0.2">
      <c r="A823" s="129">
        <f>IF(F823&lt;&gt;"",1+MAX($A$7:A822),"")</f>
        <v>289</v>
      </c>
      <c r="B823" s="140" t="s">
        <v>105</v>
      </c>
      <c r="C823" s="140" t="s">
        <v>104</v>
      </c>
      <c r="D823" s="141"/>
      <c r="E823" s="163" t="s">
        <v>102</v>
      </c>
      <c r="F823" s="149">
        <f>11.3*4</f>
        <v>45.2</v>
      </c>
      <c r="G823" s="124">
        <v>0.1</v>
      </c>
      <c r="H823" s="143">
        <f>F823*(1+G823)</f>
        <v>49.720000000000006</v>
      </c>
      <c r="I823" s="145" t="s">
        <v>15</v>
      </c>
      <c r="J823" s="37">
        <f>J$148</f>
        <v>0</v>
      </c>
      <c r="K823" s="159">
        <f>J823*H823</f>
        <v>0</v>
      </c>
      <c r="L823" s="160"/>
    </row>
    <row r="824" spans="1:12" s="21" customFormat="1" x14ac:dyDescent="0.2">
      <c r="A824" s="129">
        <f>IF(F824&lt;&gt;"",1+MAX($A$7:A823),"")</f>
        <v>290</v>
      </c>
      <c r="B824" s="140" t="s">
        <v>105</v>
      </c>
      <c r="C824" s="140" t="s">
        <v>104</v>
      </c>
      <c r="D824" s="149"/>
      <c r="E824" s="163" t="s">
        <v>112</v>
      </c>
      <c r="F824" s="149">
        <f>11.3*9</f>
        <v>101.7</v>
      </c>
      <c r="G824" s="124">
        <v>0.1</v>
      </c>
      <c r="H824" s="143">
        <f>F824*(1+G824)</f>
        <v>111.87000000000002</v>
      </c>
      <c r="I824" s="145" t="s">
        <v>18</v>
      </c>
      <c r="J824" s="37">
        <f>J$226</f>
        <v>0</v>
      </c>
      <c r="K824" s="159">
        <f>J824*H824</f>
        <v>0</v>
      </c>
      <c r="L824" s="160"/>
    </row>
    <row r="825" spans="1:12" s="21" customFormat="1" x14ac:dyDescent="0.2">
      <c r="A825" s="129" t="str">
        <f>IF(F825&lt;&gt;"",1+MAX($A$7:A824),"")</f>
        <v/>
      </c>
      <c r="B825" s="140"/>
      <c r="C825" s="140"/>
      <c r="D825" s="141"/>
      <c r="E825" s="163"/>
      <c r="F825" s="149"/>
      <c r="G825" s="124"/>
      <c r="H825" s="143"/>
      <c r="I825" s="145"/>
      <c r="J825" s="37"/>
      <c r="K825" s="159"/>
      <c r="L825" s="160"/>
    </row>
    <row r="826" spans="1:12" s="21" customFormat="1" x14ac:dyDescent="0.2">
      <c r="A826" s="129" t="str">
        <f>IF(F826&lt;&gt;"",1+MAX($A$7:A825),"")</f>
        <v/>
      </c>
      <c r="B826" s="140"/>
      <c r="C826" s="140"/>
      <c r="D826" s="141"/>
      <c r="E826" s="158" t="s">
        <v>114</v>
      </c>
      <c r="F826" s="149"/>
      <c r="G826" s="144"/>
      <c r="H826" s="143"/>
      <c r="I826" s="145"/>
      <c r="J826" s="37"/>
      <c r="K826" s="159"/>
      <c r="L826" s="160"/>
    </row>
    <row r="827" spans="1:12" s="21" customFormat="1" x14ac:dyDescent="0.2">
      <c r="A827" s="129">
        <f>IF(F827&lt;&gt;"",1+MAX($A$7:A826),"")</f>
        <v>291</v>
      </c>
      <c r="B827" s="140" t="s">
        <v>105</v>
      </c>
      <c r="C827" s="140" t="s">
        <v>104</v>
      </c>
      <c r="D827" s="149"/>
      <c r="E827" s="163" t="s">
        <v>133</v>
      </c>
      <c r="F827" s="149">
        <f>10.1*9*2*2</f>
        <v>363.59999999999997</v>
      </c>
      <c r="G827" s="124">
        <v>0.1</v>
      </c>
      <c r="H827" s="143">
        <f>F827*(1+G827)</f>
        <v>399.96</v>
      </c>
      <c r="I827" s="145" t="s">
        <v>18</v>
      </c>
      <c r="J827" s="37">
        <f>J$143</f>
        <v>0</v>
      </c>
      <c r="K827" s="159">
        <f>J827*H827</f>
        <v>0</v>
      </c>
      <c r="L827" s="160"/>
    </row>
    <row r="828" spans="1:12" s="21" customFormat="1" x14ac:dyDescent="0.2">
      <c r="A828" s="129" t="str">
        <f>IF(F828&lt;&gt;"",1+MAX($A$7:A827),"")</f>
        <v/>
      </c>
      <c r="B828" s="140"/>
      <c r="C828" s="140"/>
      <c r="D828" s="141"/>
      <c r="E828" s="165" t="s">
        <v>41</v>
      </c>
      <c r="F828" s="166"/>
      <c r="G828" s="167"/>
      <c r="H828" s="143">
        <f>ROUNDUP((H827)/32,0)</f>
        <v>13</v>
      </c>
      <c r="I828" s="145" t="s">
        <v>42</v>
      </c>
      <c r="J828" s="37"/>
      <c r="K828" s="159"/>
      <c r="L828" s="160"/>
    </row>
    <row r="829" spans="1:12" s="21" customFormat="1" x14ac:dyDescent="0.2">
      <c r="A829" s="129" t="str">
        <f>IF(F829&lt;&gt;"",1+MAX($A$7:A828),"")</f>
        <v/>
      </c>
      <c r="B829" s="140"/>
      <c r="C829" s="140"/>
      <c r="D829" s="141"/>
      <c r="E829" s="165" t="s">
        <v>43</v>
      </c>
      <c r="F829" s="166"/>
      <c r="G829" s="167"/>
      <c r="H829" s="143">
        <f>ROUNDUP(H828*24/500,0)</f>
        <v>1</v>
      </c>
      <c r="I829" s="145" t="s">
        <v>44</v>
      </c>
      <c r="J829" s="37"/>
      <c r="K829" s="159"/>
      <c r="L829" s="160"/>
    </row>
    <row r="830" spans="1:12" s="21" customFormat="1" x14ac:dyDescent="0.2">
      <c r="A830" s="129" t="str">
        <f>IF(F830&lt;&gt;"",1+MAX($A$7:A829),"")</f>
        <v/>
      </c>
      <c r="B830" s="140"/>
      <c r="C830" s="140"/>
      <c r="D830" s="141"/>
      <c r="E830" s="165" t="s">
        <v>45</v>
      </c>
      <c r="F830" s="166"/>
      <c r="G830" s="167"/>
      <c r="H830" s="168">
        <f>ROUNDUP((H827)/200,0)</f>
        <v>2</v>
      </c>
      <c r="I830" s="145" t="s">
        <v>46</v>
      </c>
      <c r="J830" s="37"/>
      <c r="K830" s="159"/>
      <c r="L830" s="160"/>
    </row>
    <row r="831" spans="1:12" s="21" customFormat="1" x14ac:dyDescent="0.2">
      <c r="A831" s="129" t="str">
        <f>IF(F831&lt;&gt;"",1+MAX($A$7:A830),"")</f>
        <v/>
      </c>
      <c r="B831" s="140"/>
      <c r="C831" s="140"/>
      <c r="D831" s="141"/>
      <c r="E831" s="165" t="s">
        <v>47</v>
      </c>
      <c r="F831" s="166"/>
      <c r="G831" s="167"/>
      <c r="H831" s="168">
        <f>ROUNDUP((H827)*5.25/1000,0)</f>
        <v>3</v>
      </c>
      <c r="I831" s="145" t="s">
        <v>48</v>
      </c>
      <c r="J831" s="37"/>
      <c r="K831" s="159"/>
      <c r="L831" s="160"/>
    </row>
    <row r="832" spans="1:12" s="21" customFormat="1" x14ac:dyDescent="0.2">
      <c r="A832" s="129">
        <f>IF(F832&lt;&gt;"",1+MAX($A$7:A831),"")</f>
        <v>292</v>
      </c>
      <c r="B832" s="140" t="s">
        <v>105</v>
      </c>
      <c r="C832" s="140" t="s">
        <v>104</v>
      </c>
      <c r="D832" s="141"/>
      <c r="E832" s="163" t="s">
        <v>102</v>
      </c>
      <c r="F832" s="149">
        <f>10.1*4</f>
        <v>40.4</v>
      </c>
      <c r="G832" s="124">
        <v>0.1</v>
      </c>
      <c r="H832" s="143">
        <f>F832*(1+G832)</f>
        <v>44.440000000000005</v>
      </c>
      <c r="I832" s="145" t="s">
        <v>15</v>
      </c>
      <c r="J832" s="37">
        <f>J$148</f>
        <v>0</v>
      </c>
      <c r="K832" s="159">
        <f>J832*H832</f>
        <v>0</v>
      </c>
      <c r="L832" s="160"/>
    </row>
    <row r="833" spans="1:12" s="21" customFormat="1" x14ac:dyDescent="0.2">
      <c r="A833" s="129">
        <f>IF(F833&lt;&gt;"",1+MAX($A$7:A832),"")</f>
        <v>293</v>
      </c>
      <c r="B833" s="140" t="s">
        <v>105</v>
      </c>
      <c r="C833" s="140" t="s">
        <v>104</v>
      </c>
      <c r="D833" s="149"/>
      <c r="E833" s="163" t="s">
        <v>349</v>
      </c>
      <c r="F833" s="149">
        <f>10.1*9</f>
        <v>90.899999999999991</v>
      </c>
      <c r="G833" s="124">
        <v>0.1</v>
      </c>
      <c r="H833" s="143">
        <f>F833*(1+G833)</f>
        <v>99.99</v>
      </c>
      <c r="I833" s="145" t="s">
        <v>18</v>
      </c>
      <c r="J833" s="37">
        <f>J$276</f>
        <v>0</v>
      </c>
      <c r="K833" s="159">
        <f>J833*H833</f>
        <v>0</v>
      </c>
      <c r="L833" s="160"/>
    </row>
    <row r="834" spans="1:12" s="21" customFormat="1" x14ac:dyDescent="0.2">
      <c r="A834" s="129">
        <f>IF(F834&lt;&gt;"",1+MAX($A$7:A833),"")</f>
        <v>294</v>
      </c>
      <c r="B834" s="140" t="s">
        <v>105</v>
      </c>
      <c r="C834" s="140" t="s">
        <v>104</v>
      </c>
      <c r="D834" s="149"/>
      <c r="E834" s="163" t="s">
        <v>134</v>
      </c>
      <c r="F834" s="149">
        <f>10.1*9</f>
        <v>90.899999999999991</v>
      </c>
      <c r="G834" s="124">
        <v>0.1</v>
      </c>
      <c r="H834" s="143">
        <f>F834*(1+G834)</f>
        <v>99.99</v>
      </c>
      <c r="I834" s="145" t="s">
        <v>18</v>
      </c>
      <c r="J834" s="37">
        <f>J$442</f>
        <v>0</v>
      </c>
      <c r="K834" s="159">
        <f>J834*H834</f>
        <v>0</v>
      </c>
      <c r="L834" s="160"/>
    </row>
    <row r="835" spans="1:12" s="21" customFormat="1" x14ac:dyDescent="0.2">
      <c r="A835" s="129" t="str">
        <f>IF(F835&lt;&gt;"",1+MAX($A$7:A834),"")</f>
        <v/>
      </c>
      <c r="B835" s="140"/>
      <c r="C835" s="140"/>
      <c r="D835" s="141"/>
      <c r="E835" s="163"/>
      <c r="F835" s="149"/>
      <c r="G835" s="124"/>
      <c r="H835" s="143"/>
      <c r="I835" s="145"/>
      <c r="J835" s="37"/>
      <c r="K835" s="159"/>
      <c r="L835" s="160"/>
    </row>
    <row r="836" spans="1:12" s="21" customFormat="1" x14ac:dyDescent="0.2">
      <c r="A836" s="129" t="str">
        <f>IF(F836&lt;&gt;"",1+MAX($A$7:A835),"")</f>
        <v/>
      </c>
      <c r="B836" s="140"/>
      <c r="C836" s="140"/>
      <c r="D836" s="141"/>
      <c r="E836" s="158" t="s">
        <v>192</v>
      </c>
      <c r="F836" s="149"/>
      <c r="G836" s="144"/>
      <c r="H836" s="143"/>
      <c r="I836" s="145"/>
      <c r="J836" s="37"/>
      <c r="K836" s="159"/>
      <c r="L836" s="160"/>
    </row>
    <row r="837" spans="1:12" s="21" customFormat="1" x14ac:dyDescent="0.2">
      <c r="A837" s="129">
        <f>IF(F837&lt;&gt;"",1+MAX($A$7:A836),"")</f>
        <v>295</v>
      </c>
      <c r="B837" s="140" t="s">
        <v>105</v>
      </c>
      <c r="C837" s="140" t="s">
        <v>104</v>
      </c>
      <c r="D837" s="149"/>
      <c r="E837" s="163" t="s">
        <v>100</v>
      </c>
      <c r="F837" s="149">
        <f>297.2*9*2+106*9+9.8*9*2</f>
        <v>6479.9999999999991</v>
      </c>
      <c r="G837" s="124">
        <v>0.1</v>
      </c>
      <c r="H837" s="143">
        <f>F837*(1+G837)</f>
        <v>7128</v>
      </c>
      <c r="I837" s="145" t="s">
        <v>18</v>
      </c>
      <c r="J837" s="37">
        <f>J$143</f>
        <v>0</v>
      </c>
      <c r="K837" s="159">
        <f>J837*H837</f>
        <v>0</v>
      </c>
      <c r="L837" s="160"/>
    </row>
    <row r="838" spans="1:12" s="21" customFormat="1" x14ac:dyDescent="0.2">
      <c r="A838" s="129" t="str">
        <f>IF(F838&lt;&gt;"",1+MAX($A$7:A837),"")</f>
        <v/>
      </c>
      <c r="B838" s="140"/>
      <c r="C838" s="140"/>
      <c r="D838" s="141"/>
      <c r="E838" s="165" t="s">
        <v>41</v>
      </c>
      <c r="F838" s="166"/>
      <c r="G838" s="167"/>
      <c r="H838" s="143">
        <f>ROUNDUP((H837)/32,0)</f>
        <v>223</v>
      </c>
      <c r="I838" s="145" t="s">
        <v>42</v>
      </c>
      <c r="J838" s="37"/>
      <c r="K838" s="159"/>
      <c r="L838" s="160"/>
    </row>
    <row r="839" spans="1:12" s="21" customFormat="1" x14ac:dyDescent="0.2">
      <c r="A839" s="129" t="str">
        <f>IF(F839&lt;&gt;"",1+MAX($A$7:A838),"")</f>
        <v/>
      </c>
      <c r="B839" s="140"/>
      <c r="C839" s="140"/>
      <c r="D839" s="141"/>
      <c r="E839" s="165" t="s">
        <v>43</v>
      </c>
      <c r="F839" s="166"/>
      <c r="G839" s="167"/>
      <c r="H839" s="143">
        <f>ROUNDUP(H838*24/500,0)</f>
        <v>11</v>
      </c>
      <c r="I839" s="145" t="s">
        <v>44</v>
      </c>
      <c r="J839" s="37"/>
      <c r="K839" s="159"/>
      <c r="L839" s="160"/>
    </row>
    <row r="840" spans="1:12" s="21" customFormat="1" x14ac:dyDescent="0.2">
      <c r="A840" s="129" t="str">
        <f>IF(F840&lt;&gt;"",1+MAX($A$7:A839),"")</f>
        <v/>
      </c>
      <c r="B840" s="140"/>
      <c r="C840" s="140"/>
      <c r="D840" s="141"/>
      <c r="E840" s="165" t="s">
        <v>45</v>
      </c>
      <c r="F840" s="166"/>
      <c r="G840" s="167"/>
      <c r="H840" s="168">
        <f>ROUNDUP((H837)/200,0)</f>
        <v>36</v>
      </c>
      <c r="I840" s="145" t="s">
        <v>46</v>
      </c>
      <c r="J840" s="37"/>
      <c r="K840" s="159"/>
      <c r="L840" s="160"/>
    </row>
    <row r="841" spans="1:12" s="21" customFormat="1" x14ac:dyDescent="0.2">
      <c r="A841" s="129" t="str">
        <f>IF(F841&lt;&gt;"",1+MAX($A$7:A840),"")</f>
        <v/>
      </c>
      <c r="B841" s="140"/>
      <c r="C841" s="140"/>
      <c r="D841" s="141"/>
      <c r="E841" s="165" t="s">
        <v>47</v>
      </c>
      <c r="F841" s="166"/>
      <c r="G841" s="167"/>
      <c r="H841" s="168">
        <f>ROUNDUP((H837)*5.25/1000,0)</f>
        <v>38</v>
      </c>
      <c r="I841" s="145" t="s">
        <v>48</v>
      </c>
      <c r="J841" s="37"/>
      <c r="K841" s="159"/>
      <c r="L841" s="160"/>
    </row>
    <row r="842" spans="1:12" s="21" customFormat="1" x14ac:dyDescent="0.2">
      <c r="A842" s="129">
        <f>IF(F842&lt;&gt;"",1+MAX($A$7:A841),"")</f>
        <v>296</v>
      </c>
      <c r="B842" s="140" t="s">
        <v>105</v>
      </c>
      <c r="C842" s="140" t="s">
        <v>104</v>
      </c>
      <c r="D842" s="149"/>
      <c r="E842" s="163" t="s">
        <v>101</v>
      </c>
      <c r="F842" s="149">
        <f>106*9</f>
        <v>954</v>
      </c>
      <c r="G842" s="124">
        <v>0.1</v>
      </c>
      <c r="H842" s="143">
        <f>F842*(1+G842)</f>
        <v>1049.4000000000001</v>
      </c>
      <c r="I842" s="145" t="s">
        <v>18</v>
      </c>
      <c r="J842" s="37">
        <f>J$160</f>
        <v>0</v>
      </c>
      <c r="K842" s="159">
        <f>J842*H842</f>
        <v>0</v>
      </c>
      <c r="L842" s="160"/>
    </row>
    <row r="843" spans="1:12" s="21" customFormat="1" x14ac:dyDescent="0.2">
      <c r="A843" s="129" t="str">
        <f>IF(F843&lt;&gt;"",1+MAX($A$7:A842),"")</f>
        <v/>
      </c>
      <c r="B843" s="140"/>
      <c r="C843" s="140"/>
      <c r="D843" s="141"/>
      <c r="E843" s="165" t="s">
        <v>41</v>
      </c>
      <c r="F843" s="166"/>
      <c r="G843" s="167"/>
      <c r="H843" s="143">
        <f>ROUNDUP((H842)/32,0)</f>
        <v>33</v>
      </c>
      <c r="I843" s="145" t="s">
        <v>42</v>
      </c>
      <c r="J843" s="37"/>
      <c r="K843" s="159"/>
      <c r="L843" s="160"/>
    </row>
    <row r="844" spans="1:12" s="21" customFormat="1" x14ac:dyDescent="0.2">
      <c r="A844" s="129" t="str">
        <f>IF(F844&lt;&gt;"",1+MAX($A$7:A843),"")</f>
        <v/>
      </c>
      <c r="B844" s="140"/>
      <c r="C844" s="140"/>
      <c r="D844" s="141"/>
      <c r="E844" s="165" t="s">
        <v>43</v>
      </c>
      <c r="F844" s="166"/>
      <c r="G844" s="167"/>
      <c r="H844" s="143">
        <f>ROUNDUP(H843*24/500,0)</f>
        <v>2</v>
      </c>
      <c r="I844" s="145" t="s">
        <v>44</v>
      </c>
      <c r="J844" s="37"/>
      <c r="K844" s="159"/>
      <c r="L844" s="160"/>
    </row>
    <row r="845" spans="1:12" s="21" customFormat="1" x14ac:dyDescent="0.2">
      <c r="A845" s="129" t="str">
        <f>IF(F845&lt;&gt;"",1+MAX($A$7:A844),"")</f>
        <v/>
      </c>
      <c r="B845" s="140"/>
      <c r="C845" s="140"/>
      <c r="D845" s="141"/>
      <c r="E845" s="165" t="s">
        <v>45</v>
      </c>
      <c r="F845" s="166"/>
      <c r="G845" s="167"/>
      <c r="H845" s="168">
        <f>ROUNDUP((H842)/200,0)</f>
        <v>6</v>
      </c>
      <c r="I845" s="145" t="s">
        <v>46</v>
      </c>
      <c r="J845" s="37"/>
      <c r="K845" s="159"/>
      <c r="L845" s="160"/>
    </row>
    <row r="846" spans="1:12" s="21" customFormat="1" x14ac:dyDescent="0.2">
      <c r="A846" s="129" t="str">
        <f>IF(F846&lt;&gt;"",1+MAX($A$7:A845),"")</f>
        <v/>
      </c>
      <c r="B846" s="140"/>
      <c r="C846" s="140"/>
      <c r="D846" s="141"/>
      <c r="E846" s="165" t="s">
        <v>47</v>
      </c>
      <c r="F846" s="166"/>
      <c r="G846" s="167"/>
      <c r="H846" s="168">
        <f>ROUNDUP((H842)*5.25/1000,0)</f>
        <v>6</v>
      </c>
      <c r="I846" s="145" t="s">
        <v>48</v>
      </c>
      <c r="J846" s="37"/>
      <c r="K846" s="159"/>
      <c r="L846" s="160"/>
    </row>
    <row r="847" spans="1:12" s="21" customFormat="1" x14ac:dyDescent="0.2">
      <c r="A847" s="129">
        <f>IF(F847&lt;&gt;"",1+MAX($A$7:A846),"")</f>
        <v>297</v>
      </c>
      <c r="B847" s="140" t="s">
        <v>105</v>
      </c>
      <c r="C847" s="140" t="s">
        <v>104</v>
      </c>
      <c r="D847" s="141"/>
      <c r="E847" s="163" t="s">
        <v>102</v>
      </c>
      <c r="F847" s="149">
        <f>(403.2+9.8)*4</f>
        <v>1652</v>
      </c>
      <c r="G847" s="124">
        <v>0.1</v>
      </c>
      <c r="H847" s="143">
        <f>F847*(1+G847)</f>
        <v>1817.2</v>
      </c>
      <c r="I847" s="145" t="s">
        <v>15</v>
      </c>
      <c r="J847" s="37">
        <f>J$148</f>
        <v>0</v>
      </c>
      <c r="K847" s="159">
        <f>J847*H847</f>
        <v>0</v>
      </c>
      <c r="L847" s="160"/>
    </row>
    <row r="848" spans="1:12" s="21" customFormat="1" x14ac:dyDescent="0.2">
      <c r="A848" s="129">
        <f>IF(F848&lt;&gt;"",1+MAX($A$7:A847),"")</f>
        <v>298</v>
      </c>
      <c r="B848" s="140" t="s">
        <v>105</v>
      </c>
      <c r="C848" s="140" t="s">
        <v>104</v>
      </c>
      <c r="D848" s="149"/>
      <c r="E848" s="163" t="s">
        <v>111</v>
      </c>
      <c r="F848" s="149">
        <f>(403.2+9.8)*9</f>
        <v>3717</v>
      </c>
      <c r="G848" s="124">
        <v>0.1</v>
      </c>
      <c r="H848" s="143">
        <f>F848*(1+G848)</f>
        <v>4088.7000000000003</v>
      </c>
      <c r="I848" s="145" t="s">
        <v>18</v>
      </c>
      <c r="J848" s="37">
        <f>J$187</f>
        <v>0</v>
      </c>
      <c r="K848" s="159">
        <f>J848*H848</f>
        <v>0</v>
      </c>
      <c r="L848" s="160"/>
    </row>
    <row r="849" spans="1:12" s="21" customFormat="1" x14ac:dyDescent="0.2">
      <c r="A849" s="129">
        <f>IF(F849&lt;&gt;"",1+MAX($A$7:A848),"")</f>
        <v>299</v>
      </c>
      <c r="B849" s="140" t="s">
        <v>105</v>
      </c>
      <c r="C849" s="140" t="s">
        <v>104</v>
      </c>
      <c r="D849" s="149"/>
      <c r="E849" s="163" t="s">
        <v>116</v>
      </c>
      <c r="F849" s="149">
        <f>(403.2+9.8)*9</f>
        <v>3717</v>
      </c>
      <c r="G849" s="124">
        <v>0.1</v>
      </c>
      <c r="H849" s="143">
        <f>F849*(1+G849)</f>
        <v>4088.7000000000003</v>
      </c>
      <c r="I849" s="145" t="s">
        <v>18</v>
      </c>
      <c r="J849" s="37">
        <f>J$202</f>
        <v>0</v>
      </c>
      <c r="K849" s="159">
        <f>J849*H849</f>
        <v>0</v>
      </c>
      <c r="L849" s="160"/>
    </row>
    <row r="850" spans="1:12" s="21" customFormat="1" x14ac:dyDescent="0.2">
      <c r="A850" s="129" t="str">
        <f>IF(F850&lt;&gt;"",1+MAX($A$7:A849),"")</f>
        <v/>
      </c>
      <c r="B850" s="140"/>
      <c r="C850" s="140"/>
      <c r="D850" s="141"/>
      <c r="E850" s="163"/>
      <c r="F850" s="149"/>
      <c r="G850" s="124"/>
      <c r="H850" s="143"/>
      <c r="I850" s="145"/>
      <c r="J850" s="37"/>
      <c r="K850" s="159"/>
      <c r="L850" s="160"/>
    </row>
    <row r="851" spans="1:12" s="21" customFormat="1" x14ac:dyDescent="0.2">
      <c r="A851" s="129" t="str">
        <f>IF(F851&lt;&gt;"",1+MAX($A$7:A850),"")</f>
        <v/>
      </c>
      <c r="B851" s="140"/>
      <c r="C851" s="140"/>
      <c r="D851" s="141"/>
      <c r="E851" s="158" t="s">
        <v>193</v>
      </c>
      <c r="F851" s="149"/>
      <c r="G851" s="144"/>
      <c r="H851" s="143"/>
      <c r="I851" s="145"/>
      <c r="J851" s="37"/>
      <c r="K851" s="159"/>
      <c r="L851" s="160"/>
    </row>
    <row r="852" spans="1:12" s="21" customFormat="1" x14ac:dyDescent="0.2">
      <c r="A852" s="129">
        <f>IF(F852&lt;&gt;"",1+MAX($A$7:A851),"")</f>
        <v>300</v>
      </c>
      <c r="B852" s="140" t="s">
        <v>105</v>
      </c>
      <c r="C852" s="140" t="s">
        <v>104</v>
      </c>
      <c r="D852" s="149"/>
      <c r="E852" s="163" t="s">
        <v>100</v>
      </c>
      <c r="F852" s="149">
        <f>313.5*9*2</f>
        <v>5643</v>
      </c>
      <c r="G852" s="124">
        <v>0.1</v>
      </c>
      <c r="H852" s="143">
        <f>F852*(1+G852)</f>
        <v>6207.3</v>
      </c>
      <c r="I852" s="145" t="s">
        <v>18</v>
      </c>
      <c r="J852" s="37">
        <f>J$143</f>
        <v>0</v>
      </c>
      <c r="K852" s="159">
        <f>J852*H852</f>
        <v>0</v>
      </c>
      <c r="L852" s="160"/>
    </row>
    <row r="853" spans="1:12" s="21" customFormat="1" x14ac:dyDescent="0.2">
      <c r="A853" s="129" t="str">
        <f>IF(F853&lt;&gt;"",1+MAX($A$7:A852),"")</f>
        <v/>
      </c>
      <c r="B853" s="140"/>
      <c r="C853" s="140"/>
      <c r="D853" s="141"/>
      <c r="E853" s="165" t="s">
        <v>41</v>
      </c>
      <c r="F853" s="166"/>
      <c r="G853" s="167"/>
      <c r="H853" s="143">
        <f>ROUNDUP((H852)/32,0)</f>
        <v>194</v>
      </c>
      <c r="I853" s="145" t="s">
        <v>42</v>
      </c>
      <c r="J853" s="37"/>
      <c r="K853" s="159"/>
      <c r="L853" s="160"/>
    </row>
    <row r="854" spans="1:12" s="21" customFormat="1" x14ac:dyDescent="0.2">
      <c r="A854" s="129" t="str">
        <f>IF(F854&lt;&gt;"",1+MAX($A$7:A853),"")</f>
        <v/>
      </c>
      <c r="B854" s="140"/>
      <c r="C854" s="140"/>
      <c r="D854" s="141"/>
      <c r="E854" s="165" t="s">
        <v>43</v>
      </c>
      <c r="F854" s="166"/>
      <c r="G854" s="167"/>
      <c r="H854" s="143">
        <f>ROUNDUP(H853*24/500,0)</f>
        <v>10</v>
      </c>
      <c r="I854" s="145" t="s">
        <v>44</v>
      </c>
      <c r="J854" s="37"/>
      <c r="K854" s="159"/>
      <c r="L854" s="160"/>
    </row>
    <row r="855" spans="1:12" s="21" customFormat="1" x14ac:dyDescent="0.2">
      <c r="A855" s="129" t="str">
        <f>IF(F855&lt;&gt;"",1+MAX($A$7:A854),"")</f>
        <v/>
      </c>
      <c r="B855" s="140"/>
      <c r="C855" s="140"/>
      <c r="D855" s="141"/>
      <c r="E855" s="165" t="s">
        <v>45</v>
      </c>
      <c r="F855" s="166"/>
      <c r="G855" s="167"/>
      <c r="H855" s="168">
        <f>ROUNDUP((H852)/200,0)</f>
        <v>32</v>
      </c>
      <c r="I855" s="145" t="s">
        <v>46</v>
      </c>
      <c r="J855" s="37"/>
      <c r="K855" s="159"/>
      <c r="L855" s="160"/>
    </row>
    <row r="856" spans="1:12" s="21" customFormat="1" x14ac:dyDescent="0.2">
      <c r="A856" s="129" t="str">
        <f>IF(F856&lt;&gt;"",1+MAX($A$7:A855),"")</f>
        <v/>
      </c>
      <c r="B856" s="140"/>
      <c r="C856" s="140"/>
      <c r="D856" s="141"/>
      <c r="E856" s="165" t="s">
        <v>47</v>
      </c>
      <c r="F856" s="166"/>
      <c r="G856" s="167"/>
      <c r="H856" s="168">
        <f>ROUNDUP((H852)*5.25/1000,0)</f>
        <v>33</v>
      </c>
      <c r="I856" s="145" t="s">
        <v>48</v>
      </c>
      <c r="J856" s="37"/>
      <c r="K856" s="159"/>
      <c r="L856" s="160"/>
    </row>
    <row r="857" spans="1:12" s="21" customFormat="1" x14ac:dyDescent="0.2">
      <c r="A857" s="129">
        <f>IF(F857&lt;&gt;"",1+MAX($A$7:A856),"")</f>
        <v>301</v>
      </c>
      <c r="B857" s="140" t="s">
        <v>105</v>
      </c>
      <c r="C857" s="140" t="s">
        <v>104</v>
      </c>
      <c r="D857" s="141"/>
      <c r="E857" s="163" t="s">
        <v>102</v>
      </c>
      <c r="F857" s="149">
        <f>313.5*4</f>
        <v>1254</v>
      </c>
      <c r="G857" s="124">
        <v>0.1</v>
      </c>
      <c r="H857" s="143">
        <f>F857*(1+G857)</f>
        <v>1379.4</v>
      </c>
      <c r="I857" s="145" t="s">
        <v>15</v>
      </c>
      <c r="J857" s="37">
        <f>J$148</f>
        <v>0</v>
      </c>
      <c r="K857" s="159">
        <f>J857*H857</f>
        <v>0</v>
      </c>
      <c r="L857" s="160"/>
    </row>
    <row r="858" spans="1:12" s="21" customFormat="1" x14ac:dyDescent="0.2">
      <c r="A858" s="129">
        <f>IF(F858&lt;&gt;"",1+MAX($A$7:A857),"")</f>
        <v>302</v>
      </c>
      <c r="B858" s="140" t="s">
        <v>105</v>
      </c>
      <c r="C858" s="140" t="s">
        <v>104</v>
      </c>
      <c r="D858" s="149"/>
      <c r="E858" s="163" t="s">
        <v>111</v>
      </c>
      <c r="F858" s="149">
        <f>313.5*9</f>
        <v>2821.5</v>
      </c>
      <c r="G858" s="124">
        <v>0.1</v>
      </c>
      <c r="H858" s="143">
        <f>F858*(1+G858)</f>
        <v>3103.65</v>
      </c>
      <c r="I858" s="145" t="s">
        <v>18</v>
      </c>
      <c r="J858" s="37">
        <f>J$187</f>
        <v>0</v>
      </c>
      <c r="K858" s="159">
        <f>J858*H858</f>
        <v>0</v>
      </c>
      <c r="L858" s="160"/>
    </row>
    <row r="859" spans="1:12" s="21" customFormat="1" x14ac:dyDescent="0.2">
      <c r="A859" s="129">
        <f>IF(F859&lt;&gt;"",1+MAX($A$7:A858),"")</f>
        <v>303</v>
      </c>
      <c r="B859" s="140" t="s">
        <v>105</v>
      </c>
      <c r="C859" s="140" t="s">
        <v>104</v>
      </c>
      <c r="D859" s="149"/>
      <c r="E859" s="163" t="s">
        <v>116</v>
      </c>
      <c r="F859" s="149">
        <f>313.5*9</f>
        <v>2821.5</v>
      </c>
      <c r="G859" s="124">
        <v>0.1</v>
      </c>
      <c r="H859" s="143">
        <f>F859*(1+G859)</f>
        <v>3103.65</v>
      </c>
      <c r="I859" s="145" t="s">
        <v>18</v>
      </c>
      <c r="J859" s="37">
        <f>J$202</f>
        <v>0</v>
      </c>
      <c r="K859" s="159">
        <f>J859*H859</f>
        <v>0</v>
      </c>
      <c r="L859" s="160"/>
    </row>
    <row r="860" spans="1:12" s="21" customFormat="1" x14ac:dyDescent="0.2">
      <c r="A860" s="129" t="str">
        <f>IF(F860&lt;&gt;"",1+MAX($A$7:A859),"")</f>
        <v/>
      </c>
      <c r="B860" s="140"/>
      <c r="C860" s="140"/>
      <c r="D860" s="141"/>
      <c r="E860" s="163"/>
      <c r="F860" s="149"/>
      <c r="G860" s="124"/>
      <c r="H860" s="143"/>
      <c r="I860" s="145"/>
      <c r="J860" s="37"/>
      <c r="K860" s="159"/>
      <c r="L860" s="160"/>
    </row>
    <row r="861" spans="1:12" s="21" customFormat="1" x14ac:dyDescent="0.2">
      <c r="A861" s="129" t="str">
        <f>IF(F861&lt;&gt;"",1+MAX($A$7:A860),"")</f>
        <v/>
      </c>
      <c r="B861" s="140"/>
      <c r="C861" s="140"/>
      <c r="D861" s="141"/>
      <c r="E861" s="158" t="s">
        <v>117</v>
      </c>
      <c r="F861" s="149"/>
      <c r="G861" s="144"/>
      <c r="H861" s="143"/>
      <c r="I861" s="145"/>
      <c r="J861" s="37"/>
      <c r="K861" s="159"/>
      <c r="L861" s="160"/>
    </row>
    <row r="862" spans="1:12" s="21" customFormat="1" x14ac:dyDescent="0.2">
      <c r="A862" s="129">
        <f>IF(F862&lt;&gt;"",1+MAX($A$7:A861),"")</f>
        <v>304</v>
      </c>
      <c r="B862" s="140" t="s">
        <v>105</v>
      </c>
      <c r="C862" s="140" t="s">
        <v>104</v>
      </c>
      <c r="D862" s="149"/>
      <c r="E862" s="163" t="s">
        <v>115</v>
      </c>
      <c r="F862" s="149">
        <f>134.9*9</f>
        <v>1214.1000000000001</v>
      </c>
      <c r="G862" s="124">
        <v>0.1</v>
      </c>
      <c r="H862" s="143">
        <f>F862*(1+G862)</f>
        <v>1335.5100000000002</v>
      </c>
      <c r="I862" s="145" t="s">
        <v>18</v>
      </c>
      <c r="J862" s="37">
        <f>J$143</f>
        <v>0</v>
      </c>
      <c r="K862" s="159">
        <f>J862*H862</f>
        <v>0</v>
      </c>
      <c r="L862" s="160"/>
    </row>
    <row r="863" spans="1:12" s="21" customFormat="1" x14ac:dyDescent="0.2">
      <c r="A863" s="129" t="str">
        <f>IF(F863&lt;&gt;"",1+MAX($A$7:A862),"")</f>
        <v/>
      </c>
      <c r="B863" s="140"/>
      <c r="C863" s="140"/>
      <c r="D863" s="141"/>
      <c r="E863" s="165" t="s">
        <v>41</v>
      </c>
      <c r="F863" s="166"/>
      <c r="G863" s="167"/>
      <c r="H863" s="143">
        <f>ROUNDUP((H862)/32,0)</f>
        <v>42</v>
      </c>
      <c r="I863" s="145" t="s">
        <v>42</v>
      </c>
      <c r="J863" s="37"/>
      <c r="K863" s="159"/>
      <c r="L863" s="160"/>
    </row>
    <row r="864" spans="1:12" s="21" customFormat="1" x14ac:dyDescent="0.2">
      <c r="A864" s="129" t="str">
        <f>IF(F864&lt;&gt;"",1+MAX($A$7:A863),"")</f>
        <v/>
      </c>
      <c r="B864" s="140"/>
      <c r="C864" s="140"/>
      <c r="D864" s="141"/>
      <c r="E864" s="165" t="s">
        <v>43</v>
      </c>
      <c r="F864" s="166"/>
      <c r="G864" s="167"/>
      <c r="H864" s="143">
        <f>ROUNDUP(H863*24/500,0)</f>
        <v>3</v>
      </c>
      <c r="I864" s="145" t="s">
        <v>44</v>
      </c>
      <c r="J864" s="37"/>
      <c r="K864" s="159"/>
      <c r="L864" s="160"/>
    </row>
    <row r="865" spans="1:12" s="21" customFormat="1" x14ac:dyDescent="0.2">
      <c r="A865" s="129" t="str">
        <f>IF(F865&lt;&gt;"",1+MAX($A$7:A864),"")</f>
        <v/>
      </c>
      <c r="B865" s="140"/>
      <c r="C865" s="140"/>
      <c r="D865" s="141"/>
      <c r="E865" s="165" t="s">
        <v>45</v>
      </c>
      <c r="F865" s="166"/>
      <c r="G865" s="167"/>
      <c r="H865" s="168">
        <f>ROUNDUP((H862)/200,0)</f>
        <v>7</v>
      </c>
      <c r="I865" s="145" t="s">
        <v>46</v>
      </c>
      <c r="J865" s="37"/>
      <c r="K865" s="159"/>
      <c r="L865" s="160"/>
    </row>
    <row r="866" spans="1:12" s="21" customFormat="1" x14ac:dyDescent="0.2">
      <c r="A866" s="129" t="str">
        <f>IF(F866&lt;&gt;"",1+MAX($A$7:A865),"")</f>
        <v/>
      </c>
      <c r="B866" s="140"/>
      <c r="C866" s="140"/>
      <c r="D866" s="141"/>
      <c r="E866" s="165" t="s">
        <v>47</v>
      </c>
      <c r="F866" s="166"/>
      <c r="G866" s="167"/>
      <c r="H866" s="168">
        <f>ROUNDUP((H862)*5.25/1000,0)</f>
        <v>8</v>
      </c>
      <c r="I866" s="145" t="s">
        <v>48</v>
      </c>
      <c r="J866" s="37"/>
      <c r="K866" s="159"/>
      <c r="L866" s="160"/>
    </row>
    <row r="867" spans="1:12" s="21" customFormat="1" x14ac:dyDescent="0.2">
      <c r="A867" s="129">
        <f>IF(F867&lt;&gt;"",1+MAX($A$7:A866),"")</f>
        <v>305</v>
      </c>
      <c r="B867" s="140" t="s">
        <v>105</v>
      </c>
      <c r="C867" s="140" t="s">
        <v>104</v>
      </c>
      <c r="D867" s="149"/>
      <c r="E867" s="163" t="s">
        <v>101</v>
      </c>
      <c r="F867" s="149">
        <f>42*9</f>
        <v>378</v>
      </c>
      <c r="G867" s="124">
        <v>0.1</v>
      </c>
      <c r="H867" s="143">
        <f>F867*(1+G867)</f>
        <v>415.8</v>
      </c>
      <c r="I867" s="145" t="s">
        <v>18</v>
      </c>
      <c r="J867" s="37">
        <f>J$160</f>
        <v>0</v>
      </c>
      <c r="K867" s="159">
        <f>J867*H867</f>
        <v>0</v>
      </c>
      <c r="L867" s="160"/>
    </row>
    <row r="868" spans="1:12" s="21" customFormat="1" x14ac:dyDescent="0.2">
      <c r="A868" s="129" t="str">
        <f>IF(F868&lt;&gt;"",1+MAX($A$7:A867),"")</f>
        <v/>
      </c>
      <c r="B868" s="140"/>
      <c r="C868" s="140"/>
      <c r="D868" s="141"/>
      <c r="E868" s="165" t="s">
        <v>41</v>
      </c>
      <c r="F868" s="166"/>
      <c r="G868" s="167"/>
      <c r="H868" s="143">
        <f>ROUNDUP((H867)/32,0)</f>
        <v>13</v>
      </c>
      <c r="I868" s="145" t="s">
        <v>42</v>
      </c>
      <c r="J868" s="37"/>
      <c r="K868" s="159"/>
      <c r="L868" s="160"/>
    </row>
    <row r="869" spans="1:12" s="21" customFormat="1" x14ac:dyDescent="0.2">
      <c r="A869" s="129" t="str">
        <f>IF(F869&lt;&gt;"",1+MAX($A$7:A868),"")</f>
        <v/>
      </c>
      <c r="B869" s="140"/>
      <c r="C869" s="140"/>
      <c r="D869" s="141"/>
      <c r="E869" s="165" t="s">
        <v>43</v>
      </c>
      <c r="F869" s="166"/>
      <c r="G869" s="167"/>
      <c r="H869" s="143">
        <f>ROUNDUP(H868*24/500,0)</f>
        <v>1</v>
      </c>
      <c r="I869" s="145" t="s">
        <v>44</v>
      </c>
      <c r="J869" s="37"/>
      <c r="K869" s="159"/>
      <c r="L869" s="160"/>
    </row>
    <row r="870" spans="1:12" s="21" customFormat="1" x14ac:dyDescent="0.2">
      <c r="A870" s="129" t="str">
        <f>IF(F870&lt;&gt;"",1+MAX($A$7:A869),"")</f>
        <v/>
      </c>
      <c r="B870" s="140"/>
      <c r="C870" s="140"/>
      <c r="D870" s="141"/>
      <c r="E870" s="165" t="s">
        <v>45</v>
      </c>
      <c r="F870" s="166"/>
      <c r="G870" s="167"/>
      <c r="H870" s="168">
        <f>ROUNDUP((H867)/200,0)</f>
        <v>3</v>
      </c>
      <c r="I870" s="145" t="s">
        <v>46</v>
      </c>
      <c r="J870" s="37"/>
      <c r="K870" s="159"/>
      <c r="L870" s="160"/>
    </row>
    <row r="871" spans="1:12" s="21" customFormat="1" x14ac:dyDescent="0.2">
      <c r="A871" s="129" t="str">
        <f>IF(F871&lt;&gt;"",1+MAX($A$7:A870),"")</f>
        <v/>
      </c>
      <c r="B871" s="140"/>
      <c r="C871" s="140"/>
      <c r="D871" s="141"/>
      <c r="E871" s="165" t="s">
        <v>47</v>
      </c>
      <c r="F871" s="166"/>
      <c r="G871" s="167"/>
      <c r="H871" s="168">
        <f>ROUNDUP((H867)*5.25/1000,0)</f>
        <v>3</v>
      </c>
      <c r="I871" s="145" t="s">
        <v>48</v>
      </c>
      <c r="J871" s="37"/>
      <c r="K871" s="159"/>
      <c r="L871" s="160"/>
    </row>
    <row r="872" spans="1:12" s="21" customFormat="1" x14ac:dyDescent="0.2">
      <c r="A872" s="129">
        <f>IF(F872&lt;&gt;"",1+MAX($A$7:A871),"")</f>
        <v>306</v>
      </c>
      <c r="B872" s="140" t="s">
        <v>105</v>
      </c>
      <c r="C872" s="140" t="s">
        <v>104</v>
      </c>
      <c r="D872" s="141"/>
      <c r="E872" s="163" t="s">
        <v>102</v>
      </c>
      <c r="F872" s="149">
        <f>176.9*2</f>
        <v>353.8</v>
      </c>
      <c r="G872" s="124">
        <v>0.1</v>
      </c>
      <c r="H872" s="143">
        <f>F872*(1+G872)</f>
        <v>389.18000000000006</v>
      </c>
      <c r="I872" s="145" t="s">
        <v>15</v>
      </c>
      <c r="J872" s="37">
        <f>J$148</f>
        <v>0</v>
      </c>
      <c r="K872" s="159">
        <f>J872*H872</f>
        <v>0</v>
      </c>
      <c r="L872" s="160"/>
    </row>
    <row r="873" spans="1:12" s="21" customFormat="1" x14ac:dyDescent="0.2">
      <c r="A873" s="129">
        <f>IF(F873&lt;&gt;"",1+MAX($A$7:A872),"")</f>
        <v>307</v>
      </c>
      <c r="B873" s="140" t="s">
        <v>105</v>
      </c>
      <c r="C873" s="140" t="s">
        <v>104</v>
      </c>
      <c r="D873" s="149"/>
      <c r="E873" s="163" t="s">
        <v>349</v>
      </c>
      <c r="F873" s="149">
        <f>176.9*9</f>
        <v>1592.1000000000001</v>
      </c>
      <c r="G873" s="124">
        <v>0.1</v>
      </c>
      <c r="H873" s="143">
        <f>F873*(1+G873)</f>
        <v>1751.3100000000004</v>
      </c>
      <c r="I873" s="145" t="s">
        <v>18</v>
      </c>
      <c r="J873" s="37">
        <f>J$276</f>
        <v>0</v>
      </c>
      <c r="K873" s="159">
        <f>J873*H873</f>
        <v>0</v>
      </c>
      <c r="L873" s="160"/>
    </row>
    <row r="874" spans="1:12" s="21" customFormat="1" x14ac:dyDescent="0.2">
      <c r="A874" s="129">
        <f>IF(F874&lt;&gt;"",1+MAX($A$7:A873),"")</f>
        <v>308</v>
      </c>
      <c r="B874" s="140" t="s">
        <v>105</v>
      </c>
      <c r="C874" s="140" t="s">
        <v>104</v>
      </c>
      <c r="D874" s="149"/>
      <c r="E874" s="163" t="s">
        <v>116</v>
      </c>
      <c r="F874" s="149">
        <f>176.9*9</f>
        <v>1592.1000000000001</v>
      </c>
      <c r="G874" s="124">
        <v>0.1</v>
      </c>
      <c r="H874" s="143">
        <f>F874*(1+G874)</f>
        <v>1751.3100000000004</v>
      </c>
      <c r="I874" s="145" t="s">
        <v>18</v>
      </c>
      <c r="J874" s="37">
        <f>J$202</f>
        <v>0</v>
      </c>
      <c r="K874" s="159">
        <f>J874*H874</f>
        <v>0</v>
      </c>
      <c r="L874" s="160"/>
    </row>
    <row r="875" spans="1:12" s="21" customFormat="1" x14ac:dyDescent="0.2">
      <c r="A875" s="129" t="str">
        <f>IF(F875&lt;&gt;"",1+MAX($A$7:A874),"")</f>
        <v/>
      </c>
      <c r="B875" s="140"/>
      <c r="C875" s="140"/>
      <c r="D875" s="141"/>
      <c r="E875" s="163"/>
      <c r="F875" s="149"/>
      <c r="G875" s="124"/>
      <c r="H875" s="143"/>
      <c r="I875" s="145"/>
      <c r="J875" s="37"/>
      <c r="K875" s="159"/>
      <c r="L875" s="160"/>
    </row>
    <row r="876" spans="1:12" s="21" customFormat="1" x14ac:dyDescent="0.2">
      <c r="A876" s="129" t="str">
        <f>IF(F876&lt;&gt;"",1+MAX($A$7:A875),"")</f>
        <v/>
      </c>
      <c r="B876" s="140"/>
      <c r="C876" s="140"/>
      <c r="D876" s="141"/>
      <c r="E876" s="158" t="s">
        <v>194</v>
      </c>
      <c r="F876" s="149"/>
      <c r="G876" s="144"/>
      <c r="H876" s="143"/>
      <c r="I876" s="145"/>
      <c r="J876" s="37"/>
      <c r="K876" s="159"/>
      <c r="L876" s="160"/>
    </row>
    <row r="877" spans="1:12" s="21" customFormat="1" x14ac:dyDescent="0.2">
      <c r="A877" s="129">
        <f>IF(F877&lt;&gt;"",1+MAX($A$7:A876),"")</f>
        <v>309</v>
      </c>
      <c r="B877" s="140" t="s">
        <v>105</v>
      </c>
      <c r="C877" s="140" t="s">
        <v>104</v>
      </c>
      <c r="D877" s="149"/>
      <c r="E877" s="163" t="s">
        <v>100</v>
      </c>
      <c r="F877" s="149">
        <f>49.9*9</f>
        <v>449.09999999999997</v>
      </c>
      <c r="G877" s="124">
        <v>0.1</v>
      </c>
      <c r="H877" s="143">
        <f>F877*(1+G877)</f>
        <v>494.01</v>
      </c>
      <c r="I877" s="145" t="s">
        <v>18</v>
      </c>
      <c r="J877" s="37">
        <f>J$143</f>
        <v>0</v>
      </c>
      <c r="K877" s="159">
        <f>J877*H877</f>
        <v>0</v>
      </c>
      <c r="L877" s="160"/>
    </row>
    <row r="878" spans="1:12" s="21" customFormat="1" x14ac:dyDescent="0.2">
      <c r="A878" s="129" t="str">
        <f>IF(F878&lt;&gt;"",1+MAX($A$7:A877),"")</f>
        <v/>
      </c>
      <c r="B878" s="140"/>
      <c r="C878" s="140"/>
      <c r="D878" s="141"/>
      <c r="E878" s="165" t="s">
        <v>41</v>
      </c>
      <c r="F878" s="166"/>
      <c r="G878" s="167"/>
      <c r="H878" s="143">
        <f>ROUNDUP((H877)/32,0)</f>
        <v>16</v>
      </c>
      <c r="I878" s="145" t="s">
        <v>42</v>
      </c>
      <c r="J878" s="37"/>
      <c r="K878" s="159"/>
      <c r="L878" s="160"/>
    </row>
    <row r="879" spans="1:12" s="21" customFormat="1" x14ac:dyDescent="0.2">
      <c r="A879" s="129" t="str">
        <f>IF(F879&lt;&gt;"",1+MAX($A$7:A878),"")</f>
        <v/>
      </c>
      <c r="B879" s="140"/>
      <c r="C879" s="140"/>
      <c r="D879" s="141"/>
      <c r="E879" s="165" t="s">
        <v>43</v>
      </c>
      <c r="F879" s="166"/>
      <c r="G879" s="167"/>
      <c r="H879" s="143">
        <f>ROUNDUP(H878*24/500,0)</f>
        <v>1</v>
      </c>
      <c r="I879" s="145" t="s">
        <v>44</v>
      </c>
      <c r="J879" s="37"/>
      <c r="K879" s="159"/>
      <c r="L879" s="160"/>
    </row>
    <row r="880" spans="1:12" s="21" customFormat="1" x14ac:dyDescent="0.2">
      <c r="A880" s="129" t="str">
        <f>IF(F880&lt;&gt;"",1+MAX($A$7:A879),"")</f>
        <v/>
      </c>
      <c r="B880" s="140"/>
      <c r="C880" s="140"/>
      <c r="D880" s="141"/>
      <c r="E880" s="165" t="s">
        <v>45</v>
      </c>
      <c r="F880" s="166"/>
      <c r="G880" s="167"/>
      <c r="H880" s="168">
        <f>ROUNDUP((H877)/200,0)</f>
        <v>3</v>
      </c>
      <c r="I880" s="145" t="s">
        <v>46</v>
      </c>
      <c r="J880" s="37"/>
      <c r="K880" s="159"/>
      <c r="L880" s="160"/>
    </row>
    <row r="881" spans="1:12" s="21" customFormat="1" x14ac:dyDescent="0.2">
      <c r="A881" s="129" t="str">
        <f>IF(F881&lt;&gt;"",1+MAX($A$7:A880),"")</f>
        <v/>
      </c>
      <c r="B881" s="140"/>
      <c r="C881" s="140"/>
      <c r="D881" s="141"/>
      <c r="E881" s="165" t="s">
        <v>47</v>
      </c>
      <c r="F881" s="166"/>
      <c r="G881" s="167"/>
      <c r="H881" s="168">
        <f>ROUNDUP((H877)*5.25/1000,0)</f>
        <v>3</v>
      </c>
      <c r="I881" s="145" t="s">
        <v>48</v>
      </c>
      <c r="J881" s="37"/>
      <c r="K881" s="159"/>
      <c r="L881" s="160"/>
    </row>
    <row r="882" spans="1:12" s="21" customFormat="1" x14ac:dyDescent="0.2">
      <c r="A882" s="129">
        <f>IF(F882&lt;&gt;"",1+MAX($A$7:A881),"")</f>
        <v>310</v>
      </c>
      <c r="B882" s="140" t="s">
        <v>105</v>
      </c>
      <c r="C882" s="140" t="s">
        <v>104</v>
      </c>
      <c r="D882" s="149"/>
      <c r="E882" s="163" t="s">
        <v>101</v>
      </c>
      <c r="F882" s="149">
        <f>49.9*9</f>
        <v>449.09999999999997</v>
      </c>
      <c r="G882" s="124">
        <v>0.1</v>
      </c>
      <c r="H882" s="143">
        <f>F882*(1+G882)</f>
        <v>494.01</v>
      </c>
      <c r="I882" s="145" t="s">
        <v>18</v>
      </c>
      <c r="J882" s="37">
        <f>J$160</f>
        <v>0</v>
      </c>
      <c r="K882" s="159">
        <f>J882*H882</f>
        <v>0</v>
      </c>
      <c r="L882" s="160"/>
    </row>
    <row r="883" spans="1:12" s="21" customFormat="1" x14ac:dyDescent="0.2">
      <c r="A883" s="129" t="str">
        <f>IF(F883&lt;&gt;"",1+MAX($A$7:A882),"")</f>
        <v/>
      </c>
      <c r="B883" s="140"/>
      <c r="C883" s="140"/>
      <c r="D883" s="141"/>
      <c r="E883" s="165" t="s">
        <v>41</v>
      </c>
      <c r="F883" s="166"/>
      <c r="G883" s="167"/>
      <c r="H883" s="143">
        <f>ROUNDUP((H882)/32,0)</f>
        <v>16</v>
      </c>
      <c r="I883" s="145" t="s">
        <v>42</v>
      </c>
      <c r="J883" s="37"/>
      <c r="K883" s="159"/>
      <c r="L883" s="160"/>
    </row>
    <row r="884" spans="1:12" s="21" customFormat="1" x14ac:dyDescent="0.2">
      <c r="A884" s="129" t="str">
        <f>IF(F884&lt;&gt;"",1+MAX($A$7:A883),"")</f>
        <v/>
      </c>
      <c r="B884" s="140"/>
      <c r="C884" s="140"/>
      <c r="D884" s="141"/>
      <c r="E884" s="165" t="s">
        <v>43</v>
      </c>
      <c r="F884" s="166"/>
      <c r="G884" s="167"/>
      <c r="H884" s="143">
        <f>ROUNDUP(H883*24/500,0)</f>
        <v>1</v>
      </c>
      <c r="I884" s="145" t="s">
        <v>44</v>
      </c>
      <c r="J884" s="37"/>
      <c r="K884" s="159"/>
      <c r="L884" s="160"/>
    </row>
    <row r="885" spans="1:12" s="21" customFormat="1" x14ac:dyDescent="0.2">
      <c r="A885" s="129" t="str">
        <f>IF(F885&lt;&gt;"",1+MAX($A$7:A884),"")</f>
        <v/>
      </c>
      <c r="B885" s="140"/>
      <c r="C885" s="140"/>
      <c r="D885" s="141"/>
      <c r="E885" s="165" t="s">
        <v>45</v>
      </c>
      <c r="F885" s="166"/>
      <c r="G885" s="167"/>
      <c r="H885" s="168">
        <f>ROUNDUP((H882)/200,0)</f>
        <v>3</v>
      </c>
      <c r="I885" s="145" t="s">
        <v>46</v>
      </c>
      <c r="J885" s="37"/>
      <c r="K885" s="159"/>
      <c r="L885" s="160"/>
    </row>
    <row r="886" spans="1:12" s="21" customFormat="1" x14ac:dyDescent="0.2">
      <c r="A886" s="129" t="str">
        <f>IF(F886&lt;&gt;"",1+MAX($A$7:A885),"")</f>
        <v/>
      </c>
      <c r="B886" s="140"/>
      <c r="C886" s="140"/>
      <c r="D886" s="141"/>
      <c r="E886" s="165" t="s">
        <v>47</v>
      </c>
      <c r="F886" s="166"/>
      <c r="G886" s="167"/>
      <c r="H886" s="168">
        <f>ROUNDUP((H882)*5.25/1000,0)</f>
        <v>3</v>
      </c>
      <c r="I886" s="145" t="s">
        <v>48</v>
      </c>
      <c r="J886" s="37"/>
      <c r="K886" s="159"/>
      <c r="L886" s="160"/>
    </row>
    <row r="887" spans="1:12" s="21" customFormat="1" x14ac:dyDescent="0.2">
      <c r="A887" s="129">
        <f>IF(F887&lt;&gt;"",1+MAX($A$7:A886),"")</f>
        <v>311</v>
      </c>
      <c r="B887" s="140" t="s">
        <v>105</v>
      </c>
      <c r="C887" s="140" t="s">
        <v>104</v>
      </c>
      <c r="D887" s="141"/>
      <c r="E887" s="163" t="s">
        <v>102</v>
      </c>
      <c r="F887" s="149">
        <f>49.9*4</f>
        <v>199.6</v>
      </c>
      <c r="G887" s="124">
        <v>0.1</v>
      </c>
      <c r="H887" s="143">
        <f>F887*(1+G887)</f>
        <v>219.56</v>
      </c>
      <c r="I887" s="145" t="s">
        <v>15</v>
      </c>
      <c r="J887" s="37">
        <f>J$148</f>
        <v>0</v>
      </c>
      <c r="K887" s="159">
        <f>J887*H887</f>
        <v>0</v>
      </c>
      <c r="L887" s="160"/>
    </row>
    <row r="888" spans="1:12" s="21" customFormat="1" x14ac:dyDescent="0.2">
      <c r="A888" s="129">
        <f>IF(F888&lt;&gt;"",1+MAX($A$7:A887),"")</f>
        <v>312</v>
      </c>
      <c r="B888" s="140" t="s">
        <v>105</v>
      </c>
      <c r="C888" s="140" t="s">
        <v>104</v>
      </c>
      <c r="D888" s="149"/>
      <c r="E888" s="163" t="s">
        <v>112</v>
      </c>
      <c r="F888" s="149">
        <f t="shared" ref="F888:F889" si="77">49.9*9</f>
        <v>449.09999999999997</v>
      </c>
      <c r="G888" s="124">
        <v>0.1</v>
      </c>
      <c r="H888" s="143">
        <f>F888*(1+G888)</f>
        <v>494.01</v>
      </c>
      <c r="I888" s="145" t="s">
        <v>18</v>
      </c>
      <c r="J888" s="37">
        <f>J$226</f>
        <v>0</v>
      </c>
      <c r="K888" s="159">
        <f>J888*H888</f>
        <v>0</v>
      </c>
      <c r="L888" s="160"/>
    </row>
    <row r="889" spans="1:12" s="21" customFormat="1" x14ac:dyDescent="0.2">
      <c r="A889" s="129">
        <f>IF(F889&lt;&gt;"",1+MAX($A$7:A888),"")</f>
        <v>313</v>
      </c>
      <c r="B889" s="140" t="s">
        <v>105</v>
      </c>
      <c r="C889" s="140" t="s">
        <v>104</v>
      </c>
      <c r="D889" s="149"/>
      <c r="E889" s="163" t="s">
        <v>116</v>
      </c>
      <c r="F889" s="149">
        <f t="shared" si="77"/>
        <v>449.09999999999997</v>
      </c>
      <c r="G889" s="124">
        <v>0.1</v>
      </c>
      <c r="H889" s="143">
        <f>F889*(1+G889)</f>
        <v>494.01</v>
      </c>
      <c r="I889" s="145" t="s">
        <v>18</v>
      </c>
      <c r="J889" s="37">
        <f>J$202</f>
        <v>0</v>
      </c>
      <c r="K889" s="159">
        <f>J889*H889</f>
        <v>0</v>
      </c>
      <c r="L889" s="160"/>
    </row>
    <row r="890" spans="1:12" s="21" customFormat="1" x14ac:dyDescent="0.2">
      <c r="A890" s="129" t="str">
        <f>IF(F890&lt;&gt;"",1+MAX($A$7:A889),"")</f>
        <v/>
      </c>
      <c r="B890" s="140"/>
      <c r="C890" s="140"/>
      <c r="D890" s="141"/>
      <c r="E890" s="163"/>
      <c r="F890" s="149"/>
      <c r="G890" s="124"/>
      <c r="H890" s="143"/>
      <c r="I890" s="145"/>
      <c r="J890" s="37"/>
      <c r="K890" s="159"/>
      <c r="L890" s="160"/>
    </row>
    <row r="891" spans="1:12" s="21" customFormat="1" x14ac:dyDescent="0.2">
      <c r="A891" s="129" t="str">
        <f>IF(F891&lt;&gt;"",1+MAX($A$7:A890),"")</f>
        <v/>
      </c>
      <c r="B891" s="140"/>
      <c r="C891" s="140"/>
      <c r="D891" s="141"/>
      <c r="E891" s="158" t="s">
        <v>195</v>
      </c>
      <c r="F891" s="149"/>
      <c r="G891" s="144"/>
      <c r="H891" s="143"/>
      <c r="I891" s="145"/>
      <c r="J891" s="37"/>
      <c r="K891" s="159"/>
      <c r="L891" s="160"/>
    </row>
    <row r="892" spans="1:12" s="21" customFormat="1" ht="31.5" x14ac:dyDescent="0.2">
      <c r="A892" s="129">
        <f>IF(F892&lt;&gt;"",1+MAX($A$7:A891),"")</f>
        <v>314</v>
      </c>
      <c r="B892" s="140" t="s">
        <v>105</v>
      </c>
      <c r="C892" s="140" t="s">
        <v>104</v>
      </c>
      <c r="D892" s="149"/>
      <c r="E892" s="163" t="s">
        <v>197</v>
      </c>
      <c r="F892" s="149">
        <f>69.2*9*2</f>
        <v>1245.6000000000001</v>
      </c>
      <c r="G892" s="124">
        <v>0.1</v>
      </c>
      <c r="H892" s="143">
        <f>F892*(1+G892)</f>
        <v>1370.1600000000003</v>
      </c>
      <c r="I892" s="145" t="s">
        <v>18</v>
      </c>
      <c r="J892" s="37">
        <f>J$160</f>
        <v>0</v>
      </c>
      <c r="K892" s="159">
        <f>J892*H892</f>
        <v>0</v>
      </c>
      <c r="L892" s="160"/>
    </row>
    <row r="893" spans="1:12" s="21" customFormat="1" x14ac:dyDescent="0.2">
      <c r="A893" s="129" t="str">
        <f>IF(F893&lt;&gt;"",1+MAX($A$7:A892),"")</f>
        <v/>
      </c>
      <c r="B893" s="140"/>
      <c r="C893" s="140"/>
      <c r="D893" s="141"/>
      <c r="E893" s="165" t="s">
        <v>41</v>
      </c>
      <c r="F893" s="166"/>
      <c r="G893" s="167"/>
      <c r="H893" s="143">
        <f>ROUNDUP((H892)/32,0)</f>
        <v>43</v>
      </c>
      <c r="I893" s="145" t="s">
        <v>42</v>
      </c>
      <c r="J893" s="37"/>
      <c r="K893" s="159"/>
      <c r="L893" s="160"/>
    </row>
    <row r="894" spans="1:12" s="21" customFormat="1" x14ac:dyDescent="0.2">
      <c r="A894" s="129" t="str">
        <f>IF(F894&lt;&gt;"",1+MAX($A$7:A893),"")</f>
        <v/>
      </c>
      <c r="B894" s="140"/>
      <c r="C894" s="140"/>
      <c r="D894" s="141"/>
      <c r="E894" s="165" t="s">
        <v>43</v>
      </c>
      <c r="F894" s="166"/>
      <c r="G894" s="167"/>
      <c r="H894" s="143">
        <f>ROUNDUP(H893*24/500,0)</f>
        <v>3</v>
      </c>
      <c r="I894" s="145" t="s">
        <v>44</v>
      </c>
      <c r="J894" s="37"/>
      <c r="K894" s="159"/>
      <c r="L894" s="160"/>
    </row>
    <row r="895" spans="1:12" s="21" customFormat="1" x14ac:dyDescent="0.2">
      <c r="A895" s="129" t="str">
        <f>IF(F895&lt;&gt;"",1+MAX($A$7:A894),"")</f>
        <v/>
      </c>
      <c r="B895" s="140"/>
      <c r="C895" s="140"/>
      <c r="D895" s="141"/>
      <c r="E895" s="165" t="s">
        <v>45</v>
      </c>
      <c r="F895" s="166"/>
      <c r="G895" s="167"/>
      <c r="H895" s="168">
        <f>ROUNDUP((H892)/200,0)</f>
        <v>7</v>
      </c>
      <c r="I895" s="145" t="s">
        <v>46</v>
      </c>
      <c r="J895" s="37"/>
      <c r="K895" s="159"/>
      <c r="L895" s="160"/>
    </row>
    <row r="896" spans="1:12" s="21" customFormat="1" x14ac:dyDescent="0.2">
      <c r="A896" s="129" t="str">
        <f>IF(F896&lt;&gt;"",1+MAX($A$7:A895),"")</f>
        <v/>
      </c>
      <c r="B896" s="140"/>
      <c r="C896" s="140"/>
      <c r="D896" s="141"/>
      <c r="E896" s="165" t="s">
        <v>47</v>
      </c>
      <c r="F896" s="166"/>
      <c r="G896" s="167"/>
      <c r="H896" s="168">
        <f>ROUNDUP((H892)*5.25/1000,0)</f>
        <v>8</v>
      </c>
      <c r="I896" s="145" t="s">
        <v>48</v>
      </c>
      <c r="J896" s="37"/>
      <c r="K896" s="159"/>
      <c r="L896" s="160"/>
    </row>
    <row r="897" spans="1:12" s="21" customFormat="1" x14ac:dyDescent="0.2">
      <c r="A897" s="129">
        <f>IF(F897&lt;&gt;"",1+MAX($A$7:A896),"")</f>
        <v>315</v>
      </c>
      <c r="B897" s="140" t="s">
        <v>105</v>
      </c>
      <c r="C897" s="140" t="s">
        <v>104</v>
      </c>
      <c r="D897" s="141"/>
      <c r="E897" s="163" t="s">
        <v>102</v>
      </c>
      <c r="F897" s="149">
        <f>69.2*4</f>
        <v>276.8</v>
      </c>
      <c r="G897" s="124">
        <v>0.1</v>
      </c>
      <c r="H897" s="143">
        <f>F897*(1+G897)</f>
        <v>304.48</v>
      </c>
      <c r="I897" s="145" t="s">
        <v>15</v>
      </c>
      <c r="J897" s="37">
        <f>J$148</f>
        <v>0</v>
      </c>
      <c r="K897" s="159">
        <f>J897*H897</f>
        <v>0</v>
      </c>
      <c r="L897" s="160"/>
    </row>
    <row r="898" spans="1:12" s="21" customFormat="1" x14ac:dyDescent="0.2">
      <c r="A898" s="129">
        <f>IF(F898&lt;&gt;"",1+MAX($A$7:A897),"")</f>
        <v>316</v>
      </c>
      <c r="B898" s="140" t="s">
        <v>105</v>
      </c>
      <c r="C898" s="140" t="s">
        <v>104</v>
      </c>
      <c r="D898" s="149"/>
      <c r="E898" s="163" t="s">
        <v>112</v>
      </c>
      <c r="F898" s="149">
        <f>69.2*9</f>
        <v>622.80000000000007</v>
      </c>
      <c r="G898" s="124">
        <v>0.1</v>
      </c>
      <c r="H898" s="143">
        <f>F898*(1+G898)</f>
        <v>685.08000000000015</v>
      </c>
      <c r="I898" s="145" t="s">
        <v>18</v>
      </c>
      <c r="J898" s="37">
        <f>J$226</f>
        <v>0</v>
      </c>
      <c r="K898" s="159">
        <f>J898*H898</f>
        <v>0</v>
      </c>
      <c r="L898" s="160"/>
    </row>
    <row r="899" spans="1:12" s="21" customFormat="1" x14ac:dyDescent="0.2">
      <c r="A899" s="129">
        <f>IF(F899&lt;&gt;"",1+MAX($A$7:A898),"")</f>
        <v>317</v>
      </c>
      <c r="B899" s="140" t="s">
        <v>105</v>
      </c>
      <c r="C899" s="140" t="s">
        <v>104</v>
      </c>
      <c r="D899" s="149"/>
      <c r="E899" s="163" t="s">
        <v>116</v>
      </c>
      <c r="F899" s="149">
        <f>69.2*9</f>
        <v>622.80000000000007</v>
      </c>
      <c r="G899" s="124">
        <v>0.1</v>
      </c>
      <c r="H899" s="143">
        <f>F899*(1+G899)</f>
        <v>685.08000000000015</v>
      </c>
      <c r="I899" s="145" t="s">
        <v>18</v>
      </c>
      <c r="J899" s="37">
        <f>J$202</f>
        <v>0</v>
      </c>
      <c r="K899" s="159">
        <f>J899*H899</f>
        <v>0</v>
      </c>
      <c r="L899" s="160"/>
    </row>
    <row r="900" spans="1:12" s="21" customFormat="1" x14ac:dyDescent="0.2">
      <c r="A900" s="129" t="str">
        <f>IF(F900&lt;&gt;"",1+MAX($A$7:A899),"")</f>
        <v/>
      </c>
      <c r="B900" s="140"/>
      <c r="C900" s="140"/>
      <c r="D900" s="141"/>
      <c r="E900" s="163"/>
      <c r="F900" s="149"/>
      <c r="G900" s="124"/>
      <c r="H900" s="143"/>
      <c r="I900" s="145"/>
      <c r="J900" s="37"/>
      <c r="K900" s="159"/>
      <c r="L900" s="160"/>
    </row>
    <row r="901" spans="1:12" s="21" customFormat="1" x14ac:dyDescent="0.2">
      <c r="A901" s="129" t="str">
        <f>IF(F901&lt;&gt;"",1+MAX($A$7:A900),"")</f>
        <v/>
      </c>
      <c r="B901" s="140"/>
      <c r="C901" s="140"/>
      <c r="D901" s="141"/>
      <c r="E901" s="158" t="s">
        <v>118</v>
      </c>
      <c r="F901" s="149"/>
      <c r="G901" s="144"/>
      <c r="H901" s="143"/>
      <c r="I901" s="145"/>
      <c r="J901" s="37"/>
      <c r="K901" s="159"/>
      <c r="L901" s="160"/>
    </row>
    <row r="902" spans="1:12" s="21" customFormat="1" ht="31.5" x14ac:dyDescent="0.2">
      <c r="A902" s="129">
        <f>IF(F902&lt;&gt;"",1+MAX($A$7:A901),"")</f>
        <v>318</v>
      </c>
      <c r="B902" s="140" t="s">
        <v>105</v>
      </c>
      <c r="C902" s="140" t="s">
        <v>104</v>
      </c>
      <c r="D902" s="149"/>
      <c r="E902" s="163" t="s">
        <v>198</v>
      </c>
      <c r="F902" s="149">
        <f>5.4*9</f>
        <v>48.6</v>
      </c>
      <c r="G902" s="124">
        <v>0.1</v>
      </c>
      <c r="H902" s="143">
        <f>F902*(1+G902)</f>
        <v>53.460000000000008</v>
      </c>
      <c r="I902" s="145" t="s">
        <v>18</v>
      </c>
      <c r="J902" s="37">
        <f>J$160</f>
        <v>0</v>
      </c>
      <c r="K902" s="159">
        <f>J902*H902</f>
        <v>0</v>
      </c>
      <c r="L902" s="160"/>
    </row>
    <row r="903" spans="1:12" s="21" customFormat="1" x14ac:dyDescent="0.2">
      <c r="A903" s="129" t="str">
        <f>IF(F903&lt;&gt;"",1+MAX($A$7:A902),"")</f>
        <v/>
      </c>
      <c r="B903" s="140"/>
      <c r="C903" s="140"/>
      <c r="D903" s="141"/>
      <c r="E903" s="165" t="s">
        <v>41</v>
      </c>
      <c r="F903" s="166"/>
      <c r="G903" s="167"/>
      <c r="H903" s="143">
        <f>ROUNDUP((H902)/32,0)</f>
        <v>2</v>
      </c>
      <c r="I903" s="145" t="s">
        <v>42</v>
      </c>
      <c r="J903" s="37"/>
      <c r="K903" s="159"/>
      <c r="L903" s="160"/>
    </row>
    <row r="904" spans="1:12" s="21" customFormat="1" x14ac:dyDescent="0.2">
      <c r="A904" s="129" t="str">
        <f>IF(F904&lt;&gt;"",1+MAX($A$7:A903),"")</f>
        <v/>
      </c>
      <c r="B904" s="140"/>
      <c r="C904" s="140"/>
      <c r="D904" s="141"/>
      <c r="E904" s="165" t="s">
        <v>43</v>
      </c>
      <c r="F904" s="166"/>
      <c r="G904" s="167"/>
      <c r="H904" s="143">
        <f>ROUNDUP(H903*24/500,0)</f>
        <v>1</v>
      </c>
      <c r="I904" s="145" t="s">
        <v>44</v>
      </c>
      <c r="J904" s="37"/>
      <c r="K904" s="159"/>
      <c r="L904" s="160"/>
    </row>
    <row r="905" spans="1:12" s="21" customFormat="1" x14ac:dyDescent="0.2">
      <c r="A905" s="129" t="str">
        <f>IF(F905&lt;&gt;"",1+MAX($A$7:A904),"")</f>
        <v/>
      </c>
      <c r="B905" s="140"/>
      <c r="C905" s="140"/>
      <c r="D905" s="141"/>
      <c r="E905" s="165" t="s">
        <v>45</v>
      </c>
      <c r="F905" s="166"/>
      <c r="G905" s="167"/>
      <c r="H905" s="168">
        <f>ROUNDUP((H902)/200,0)</f>
        <v>1</v>
      </c>
      <c r="I905" s="145" t="s">
        <v>46</v>
      </c>
      <c r="J905" s="37"/>
      <c r="K905" s="159"/>
      <c r="L905" s="160"/>
    </row>
    <row r="906" spans="1:12" s="21" customFormat="1" x14ac:dyDescent="0.2">
      <c r="A906" s="129" t="str">
        <f>IF(F906&lt;&gt;"",1+MAX($A$7:A905),"")</f>
        <v/>
      </c>
      <c r="B906" s="140"/>
      <c r="C906" s="140"/>
      <c r="D906" s="141"/>
      <c r="E906" s="165" t="s">
        <v>47</v>
      </c>
      <c r="F906" s="166"/>
      <c r="G906" s="167"/>
      <c r="H906" s="168">
        <f>ROUNDUP((H902)*5.25/1000,0)</f>
        <v>1</v>
      </c>
      <c r="I906" s="145" t="s">
        <v>48</v>
      </c>
      <c r="J906" s="37"/>
      <c r="K906" s="159"/>
      <c r="L906" s="160"/>
    </row>
    <row r="907" spans="1:12" s="21" customFormat="1" x14ac:dyDescent="0.2">
      <c r="A907" s="129">
        <f>IF(F907&lt;&gt;"",1+MAX($A$7:A906),"")</f>
        <v>319</v>
      </c>
      <c r="B907" s="140" t="s">
        <v>105</v>
      </c>
      <c r="C907" s="140" t="s">
        <v>104</v>
      </c>
      <c r="D907" s="141"/>
      <c r="E907" s="163" t="s">
        <v>102</v>
      </c>
      <c r="F907" s="149">
        <f>5.4*2</f>
        <v>10.8</v>
      </c>
      <c r="G907" s="124">
        <v>0.1</v>
      </c>
      <c r="H907" s="143">
        <f>F907*(1+G907)</f>
        <v>11.880000000000003</v>
      </c>
      <c r="I907" s="145" t="s">
        <v>15</v>
      </c>
      <c r="J907" s="37">
        <f>J$148</f>
        <v>0</v>
      </c>
      <c r="K907" s="159">
        <f>J907*H907</f>
        <v>0</v>
      </c>
      <c r="L907" s="160"/>
    </row>
    <row r="908" spans="1:12" s="21" customFormat="1" x14ac:dyDescent="0.2">
      <c r="A908" s="129">
        <f>IF(F908&lt;&gt;"",1+MAX($A$7:A907),"")</f>
        <v>320</v>
      </c>
      <c r="B908" s="140" t="s">
        <v>105</v>
      </c>
      <c r="C908" s="140" t="s">
        <v>104</v>
      </c>
      <c r="D908" s="149"/>
      <c r="E908" s="163" t="s">
        <v>119</v>
      </c>
      <c r="F908" s="149">
        <f>5.4*9</f>
        <v>48.6</v>
      </c>
      <c r="G908" s="124">
        <v>0.1</v>
      </c>
      <c r="H908" s="143">
        <f>F908*(1+G908)</f>
        <v>53.460000000000008</v>
      </c>
      <c r="I908" s="145" t="s">
        <v>18</v>
      </c>
      <c r="J908" s="37">
        <f>J$618</f>
        <v>0</v>
      </c>
      <c r="K908" s="159">
        <f>J908*H908</f>
        <v>0</v>
      </c>
      <c r="L908" s="160"/>
    </row>
    <row r="909" spans="1:12" s="21" customFormat="1" x14ac:dyDescent="0.2">
      <c r="A909" s="129">
        <f>IF(F909&lt;&gt;"",1+MAX($A$7:A908),"")</f>
        <v>321</v>
      </c>
      <c r="B909" s="140" t="s">
        <v>105</v>
      </c>
      <c r="C909" s="140" t="s">
        <v>104</v>
      </c>
      <c r="D909" s="149"/>
      <c r="E909" s="163" t="s">
        <v>116</v>
      </c>
      <c r="F909" s="149">
        <f>5.4*9</f>
        <v>48.6</v>
      </c>
      <c r="G909" s="124">
        <v>0.1</v>
      </c>
      <c r="H909" s="143">
        <f>F909*(1+G909)</f>
        <v>53.460000000000008</v>
      </c>
      <c r="I909" s="145" t="s">
        <v>18</v>
      </c>
      <c r="J909" s="37">
        <f>J$202</f>
        <v>0</v>
      </c>
      <c r="K909" s="159">
        <f>J909*H909</f>
        <v>0</v>
      </c>
      <c r="L909" s="160"/>
    </row>
    <row r="910" spans="1:12" s="21" customFormat="1" x14ac:dyDescent="0.2">
      <c r="A910" s="129" t="str">
        <f>IF(F910&lt;&gt;"",1+MAX($A$7:A909),"")</f>
        <v/>
      </c>
      <c r="B910" s="140"/>
      <c r="C910" s="140"/>
      <c r="D910" s="141"/>
      <c r="E910" s="163"/>
      <c r="F910" s="149"/>
      <c r="G910" s="124"/>
      <c r="H910" s="143"/>
      <c r="I910" s="145"/>
      <c r="J910" s="37"/>
      <c r="K910" s="159"/>
      <c r="L910" s="160"/>
    </row>
    <row r="911" spans="1:12" s="21" customFormat="1" x14ac:dyDescent="0.2">
      <c r="A911" s="129" t="str">
        <f>IF(F911&lt;&gt;"",1+MAX($A$7:A910),"")</f>
        <v/>
      </c>
      <c r="B911" s="140"/>
      <c r="C911" s="140"/>
      <c r="D911" s="141"/>
      <c r="E911" s="158" t="s">
        <v>120</v>
      </c>
      <c r="F911" s="149"/>
      <c r="G911" s="144"/>
      <c r="H911" s="143"/>
      <c r="I911" s="145"/>
      <c r="J911" s="37"/>
      <c r="K911" s="159"/>
      <c r="L911" s="160"/>
    </row>
    <row r="912" spans="1:12" s="21" customFormat="1" x14ac:dyDescent="0.2">
      <c r="A912" s="129">
        <f>IF(F912&lt;&gt;"",1+MAX($A$7:A911),"")</f>
        <v>322</v>
      </c>
      <c r="B912" s="140" t="s">
        <v>105</v>
      </c>
      <c r="C912" s="140" t="s">
        <v>104</v>
      </c>
      <c r="D912" s="149"/>
      <c r="E912" s="163" t="s">
        <v>100</v>
      </c>
      <c r="F912" s="149">
        <f>47.2*9*2</f>
        <v>849.6</v>
      </c>
      <c r="G912" s="124">
        <v>0.1</v>
      </c>
      <c r="H912" s="143">
        <f>F912*(1+G912)</f>
        <v>934.56000000000006</v>
      </c>
      <c r="I912" s="145" t="s">
        <v>18</v>
      </c>
      <c r="J912" s="37">
        <f>J$143</f>
        <v>0</v>
      </c>
      <c r="K912" s="159">
        <f>J912*H912</f>
        <v>0</v>
      </c>
      <c r="L912" s="160"/>
    </row>
    <row r="913" spans="1:12" s="21" customFormat="1" x14ac:dyDescent="0.2">
      <c r="A913" s="129" t="str">
        <f>IF(F913&lt;&gt;"",1+MAX($A$7:A912),"")</f>
        <v/>
      </c>
      <c r="B913" s="140"/>
      <c r="C913" s="140"/>
      <c r="D913" s="141"/>
      <c r="E913" s="165" t="s">
        <v>41</v>
      </c>
      <c r="F913" s="166"/>
      <c r="G913" s="167"/>
      <c r="H913" s="143">
        <f>ROUNDUP((H912)/32,0)</f>
        <v>30</v>
      </c>
      <c r="I913" s="145" t="s">
        <v>42</v>
      </c>
      <c r="J913" s="37"/>
      <c r="K913" s="159"/>
      <c r="L913" s="160"/>
    </row>
    <row r="914" spans="1:12" s="21" customFormat="1" x14ac:dyDescent="0.2">
      <c r="A914" s="129" t="str">
        <f>IF(F914&lt;&gt;"",1+MAX($A$7:A913),"")</f>
        <v/>
      </c>
      <c r="B914" s="140"/>
      <c r="C914" s="140"/>
      <c r="D914" s="141"/>
      <c r="E914" s="165" t="s">
        <v>43</v>
      </c>
      <c r="F914" s="166"/>
      <c r="G914" s="167"/>
      <c r="H914" s="143">
        <f>ROUNDUP(H913*24/500,0)</f>
        <v>2</v>
      </c>
      <c r="I914" s="145" t="s">
        <v>44</v>
      </c>
      <c r="J914" s="37"/>
      <c r="K914" s="159"/>
      <c r="L914" s="160"/>
    </row>
    <row r="915" spans="1:12" s="21" customFormat="1" x14ac:dyDescent="0.2">
      <c r="A915" s="129" t="str">
        <f>IF(F915&lt;&gt;"",1+MAX($A$7:A914),"")</f>
        <v/>
      </c>
      <c r="B915" s="140"/>
      <c r="C915" s="140"/>
      <c r="D915" s="141"/>
      <c r="E915" s="165" t="s">
        <v>45</v>
      </c>
      <c r="F915" s="166"/>
      <c r="G915" s="167"/>
      <c r="H915" s="168">
        <f>ROUNDUP((H912)/200,0)</f>
        <v>5</v>
      </c>
      <c r="I915" s="145" t="s">
        <v>46</v>
      </c>
      <c r="J915" s="37"/>
      <c r="K915" s="159"/>
      <c r="L915" s="160"/>
    </row>
    <row r="916" spans="1:12" s="21" customFormat="1" x14ac:dyDescent="0.2">
      <c r="A916" s="129" t="str">
        <f>IF(F916&lt;&gt;"",1+MAX($A$7:A915),"")</f>
        <v/>
      </c>
      <c r="B916" s="140"/>
      <c r="C916" s="140"/>
      <c r="D916" s="141"/>
      <c r="E916" s="165" t="s">
        <v>47</v>
      </c>
      <c r="F916" s="166"/>
      <c r="G916" s="167"/>
      <c r="H916" s="168">
        <f>ROUNDUP((H912)*5.25/1000,0)</f>
        <v>5</v>
      </c>
      <c r="I916" s="145" t="s">
        <v>48</v>
      </c>
      <c r="J916" s="37"/>
      <c r="K916" s="159"/>
      <c r="L916" s="160"/>
    </row>
    <row r="917" spans="1:12" s="21" customFormat="1" x14ac:dyDescent="0.2">
      <c r="A917" s="129">
        <f>IF(F917&lt;&gt;"",1+MAX($A$7:A916),"")</f>
        <v>323</v>
      </c>
      <c r="B917" s="140" t="s">
        <v>105</v>
      </c>
      <c r="C917" s="140" t="s">
        <v>104</v>
      </c>
      <c r="D917" s="141"/>
      <c r="E917" s="163" t="s">
        <v>102</v>
      </c>
      <c r="F917" s="149">
        <f>47.2*4</f>
        <v>188.8</v>
      </c>
      <c r="G917" s="124">
        <v>0.1</v>
      </c>
      <c r="H917" s="143">
        <f>F917*(1+G917)</f>
        <v>207.68000000000004</v>
      </c>
      <c r="I917" s="145" t="s">
        <v>15</v>
      </c>
      <c r="J917" s="37">
        <f>J$148</f>
        <v>0</v>
      </c>
      <c r="K917" s="159">
        <f>J917*H917</f>
        <v>0</v>
      </c>
      <c r="L917" s="160"/>
    </row>
    <row r="918" spans="1:12" s="21" customFormat="1" x14ac:dyDescent="0.2">
      <c r="A918" s="129">
        <f>IF(F918&lt;&gt;"",1+MAX($A$7:A917),"")</f>
        <v>324</v>
      </c>
      <c r="B918" s="140" t="s">
        <v>105</v>
      </c>
      <c r="C918" s="140" t="s">
        <v>104</v>
      </c>
      <c r="D918" s="149"/>
      <c r="E918" s="163" t="s">
        <v>109</v>
      </c>
      <c r="F918" s="149">
        <f>47.2*9</f>
        <v>424.8</v>
      </c>
      <c r="G918" s="124">
        <v>0.1</v>
      </c>
      <c r="H918" s="143">
        <f>F918*(1+G918)</f>
        <v>467.28000000000003</v>
      </c>
      <c r="I918" s="145" t="s">
        <v>18</v>
      </c>
      <c r="J918" s="37">
        <f>J$251</f>
        <v>0</v>
      </c>
      <c r="K918" s="159">
        <f>J918*H918</f>
        <v>0</v>
      </c>
      <c r="L918" s="160"/>
    </row>
    <row r="919" spans="1:12" s="21" customFormat="1" x14ac:dyDescent="0.2">
      <c r="A919" s="129">
        <f>IF(F919&lt;&gt;"",1+MAX($A$7:A918),"")</f>
        <v>325</v>
      </c>
      <c r="B919" s="140" t="s">
        <v>105</v>
      </c>
      <c r="C919" s="140" t="s">
        <v>104</v>
      </c>
      <c r="D919" s="149"/>
      <c r="E919" s="163" t="s">
        <v>116</v>
      </c>
      <c r="F919" s="149">
        <f>47.2*9</f>
        <v>424.8</v>
      </c>
      <c r="G919" s="124">
        <v>0.1</v>
      </c>
      <c r="H919" s="143">
        <f>F919*(1+G919)</f>
        <v>467.28000000000003</v>
      </c>
      <c r="I919" s="145" t="s">
        <v>18</v>
      </c>
      <c r="J919" s="37">
        <f>J$202</f>
        <v>0</v>
      </c>
      <c r="K919" s="159">
        <f>J919*H919</f>
        <v>0</v>
      </c>
      <c r="L919" s="160"/>
    </row>
    <row r="920" spans="1:12" s="21" customFormat="1" x14ac:dyDescent="0.2">
      <c r="A920" s="129" t="str">
        <f>IF(F920&lt;&gt;"",1+MAX($A$7:A919),"")</f>
        <v/>
      </c>
      <c r="B920" s="140"/>
      <c r="C920" s="140"/>
      <c r="D920" s="141"/>
      <c r="E920" s="163"/>
      <c r="F920" s="149"/>
      <c r="G920" s="124"/>
      <c r="H920" s="143"/>
      <c r="I920" s="145"/>
      <c r="J920" s="37"/>
      <c r="K920" s="159"/>
      <c r="L920" s="160"/>
    </row>
    <row r="921" spans="1:12" s="21" customFormat="1" x14ac:dyDescent="0.2">
      <c r="A921" s="129" t="str">
        <f>IF(F921&lt;&gt;"",1+MAX($A$7:A920),"")</f>
        <v/>
      </c>
      <c r="B921" s="140"/>
      <c r="C921" s="140"/>
      <c r="D921" s="141"/>
      <c r="E921" s="158" t="s">
        <v>121</v>
      </c>
      <c r="F921" s="149"/>
      <c r="G921" s="144"/>
      <c r="H921" s="143"/>
      <c r="I921" s="145"/>
      <c r="J921" s="37"/>
      <c r="K921" s="159"/>
      <c r="L921" s="160"/>
    </row>
    <row r="922" spans="1:12" s="21" customFormat="1" x14ac:dyDescent="0.2">
      <c r="A922" s="129">
        <f>IF(F922&lt;&gt;"",1+MAX($A$7:A921),"")</f>
        <v>326</v>
      </c>
      <c r="B922" s="140" t="s">
        <v>105</v>
      </c>
      <c r="C922" s="140" t="s">
        <v>104</v>
      </c>
      <c r="D922" s="149"/>
      <c r="E922" s="163" t="s">
        <v>115</v>
      </c>
      <c r="F922" s="149">
        <f>37.2*9</f>
        <v>334.8</v>
      </c>
      <c r="G922" s="124">
        <v>0.1</v>
      </c>
      <c r="H922" s="143">
        <f>F922*(1+G922)</f>
        <v>368.28000000000003</v>
      </c>
      <c r="I922" s="145" t="s">
        <v>18</v>
      </c>
      <c r="J922" s="37">
        <f>J$143</f>
        <v>0</v>
      </c>
      <c r="K922" s="159">
        <f>J922*H922</f>
        <v>0</v>
      </c>
      <c r="L922" s="160"/>
    </row>
    <row r="923" spans="1:12" s="21" customFormat="1" x14ac:dyDescent="0.2">
      <c r="A923" s="129" t="str">
        <f>IF(F923&lt;&gt;"",1+MAX($A$7:A922),"")</f>
        <v/>
      </c>
      <c r="B923" s="140"/>
      <c r="C923" s="140"/>
      <c r="D923" s="141"/>
      <c r="E923" s="165" t="s">
        <v>41</v>
      </c>
      <c r="F923" s="166"/>
      <c r="G923" s="167"/>
      <c r="H923" s="143">
        <f>ROUNDUP((H922)/32,0)</f>
        <v>12</v>
      </c>
      <c r="I923" s="145" t="s">
        <v>42</v>
      </c>
      <c r="J923" s="37"/>
      <c r="K923" s="159"/>
      <c r="L923" s="160"/>
    </row>
    <row r="924" spans="1:12" s="21" customFormat="1" x14ac:dyDescent="0.2">
      <c r="A924" s="129" t="str">
        <f>IF(F924&lt;&gt;"",1+MAX($A$7:A923),"")</f>
        <v/>
      </c>
      <c r="B924" s="140"/>
      <c r="C924" s="140"/>
      <c r="D924" s="141"/>
      <c r="E924" s="165" t="s">
        <v>43</v>
      </c>
      <c r="F924" s="166"/>
      <c r="G924" s="167"/>
      <c r="H924" s="143">
        <f>ROUNDUP(H923*24/500,0)</f>
        <v>1</v>
      </c>
      <c r="I924" s="145" t="s">
        <v>44</v>
      </c>
      <c r="J924" s="37"/>
      <c r="K924" s="159"/>
      <c r="L924" s="160"/>
    </row>
    <row r="925" spans="1:12" s="21" customFormat="1" x14ac:dyDescent="0.2">
      <c r="A925" s="129" t="str">
        <f>IF(F925&lt;&gt;"",1+MAX($A$7:A924),"")</f>
        <v/>
      </c>
      <c r="B925" s="140"/>
      <c r="C925" s="140"/>
      <c r="D925" s="141"/>
      <c r="E925" s="165" t="s">
        <v>45</v>
      </c>
      <c r="F925" s="166"/>
      <c r="G925" s="167"/>
      <c r="H925" s="168">
        <f>ROUNDUP((H922)/200,0)</f>
        <v>2</v>
      </c>
      <c r="I925" s="145" t="s">
        <v>46</v>
      </c>
      <c r="J925" s="37"/>
      <c r="K925" s="159"/>
      <c r="L925" s="160"/>
    </row>
    <row r="926" spans="1:12" s="21" customFormat="1" x14ac:dyDescent="0.2">
      <c r="A926" s="129" t="str">
        <f>IF(F926&lt;&gt;"",1+MAX($A$7:A925),"")</f>
        <v/>
      </c>
      <c r="B926" s="140"/>
      <c r="C926" s="140"/>
      <c r="D926" s="141"/>
      <c r="E926" s="165" t="s">
        <v>47</v>
      </c>
      <c r="F926" s="166"/>
      <c r="G926" s="167"/>
      <c r="H926" s="168">
        <f>ROUNDUP((H922)*5.25/1000,0)</f>
        <v>2</v>
      </c>
      <c r="I926" s="145" t="s">
        <v>48</v>
      </c>
      <c r="J926" s="37"/>
      <c r="K926" s="159"/>
      <c r="L926" s="160"/>
    </row>
    <row r="927" spans="1:12" s="21" customFormat="1" x14ac:dyDescent="0.2">
      <c r="A927" s="129">
        <f>IF(F927&lt;&gt;"",1+MAX($A$7:A926),"")</f>
        <v>327</v>
      </c>
      <c r="B927" s="140" t="s">
        <v>105</v>
      </c>
      <c r="C927" s="140" t="s">
        <v>104</v>
      </c>
      <c r="D927" s="149"/>
      <c r="E927" s="163" t="s">
        <v>101</v>
      </c>
      <c r="F927" s="149">
        <f>10.5*9</f>
        <v>94.5</v>
      </c>
      <c r="G927" s="124">
        <v>0.1</v>
      </c>
      <c r="H927" s="143">
        <f>F927*(1+G927)</f>
        <v>103.95</v>
      </c>
      <c r="I927" s="145" t="s">
        <v>18</v>
      </c>
      <c r="J927" s="37">
        <f>J$160</f>
        <v>0</v>
      </c>
      <c r="K927" s="159">
        <f>J927*H927</f>
        <v>0</v>
      </c>
      <c r="L927" s="160"/>
    </row>
    <row r="928" spans="1:12" s="21" customFormat="1" x14ac:dyDescent="0.2">
      <c r="A928" s="129" t="str">
        <f>IF(F928&lt;&gt;"",1+MAX($A$7:A927),"")</f>
        <v/>
      </c>
      <c r="B928" s="140"/>
      <c r="C928" s="140"/>
      <c r="D928" s="141"/>
      <c r="E928" s="165" t="s">
        <v>41</v>
      </c>
      <c r="F928" s="166"/>
      <c r="G928" s="167"/>
      <c r="H928" s="143">
        <f>ROUNDUP((H927)/32,0)</f>
        <v>4</v>
      </c>
      <c r="I928" s="145" t="s">
        <v>42</v>
      </c>
      <c r="J928" s="37"/>
      <c r="K928" s="159"/>
      <c r="L928" s="160"/>
    </row>
    <row r="929" spans="1:12" s="21" customFormat="1" x14ac:dyDescent="0.2">
      <c r="A929" s="129" t="str">
        <f>IF(F929&lt;&gt;"",1+MAX($A$7:A928),"")</f>
        <v/>
      </c>
      <c r="B929" s="140"/>
      <c r="C929" s="140"/>
      <c r="D929" s="141"/>
      <c r="E929" s="165" t="s">
        <v>43</v>
      </c>
      <c r="F929" s="166"/>
      <c r="G929" s="167"/>
      <c r="H929" s="143">
        <f>ROUNDUP(H928*24/500,0)</f>
        <v>1</v>
      </c>
      <c r="I929" s="145" t="s">
        <v>44</v>
      </c>
      <c r="J929" s="37"/>
      <c r="K929" s="159"/>
      <c r="L929" s="160"/>
    </row>
    <row r="930" spans="1:12" s="21" customFormat="1" x14ac:dyDescent="0.2">
      <c r="A930" s="129" t="str">
        <f>IF(F930&lt;&gt;"",1+MAX($A$7:A929),"")</f>
        <v/>
      </c>
      <c r="B930" s="140"/>
      <c r="C930" s="140"/>
      <c r="D930" s="141"/>
      <c r="E930" s="165" t="s">
        <v>45</v>
      </c>
      <c r="F930" s="166"/>
      <c r="G930" s="167"/>
      <c r="H930" s="168">
        <f>ROUNDUP((H927)/200,0)</f>
        <v>1</v>
      </c>
      <c r="I930" s="145" t="s">
        <v>46</v>
      </c>
      <c r="J930" s="37"/>
      <c r="K930" s="159"/>
      <c r="L930" s="160"/>
    </row>
    <row r="931" spans="1:12" s="21" customFormat="1" x14ac:dyDescent="0.2">
      <c r="A931" s="129" t="str">
        <f>IF(F931&lt;&gt;"",1+MAX($A$7:A930),"")</f>
        <v/>
      </c>
      <c r="B931" s="140"/>
      <c r="C931" s="140"/>
      <c r="D931" s="141"/>
      <c r="E931" s="165" t="s">
        <v>47</v>
      </c>
      <c r="F931" s="166"/>
      <c r="G931" s="167"/>
      <c r="H931" s="168">
        <f>ROUNDUP((H927)*5.25/1000,0)</f>
        <v>1</v>
      </c>
      <c r="I931" s="145" t="s">
        <v>48</v>
      </c>
      <c r="J931" s="37"/>
      <c r="K931" s="159"/>
      <c r="L931" s="160"/>
    </row>
    <row r="932" spans="1:12" s="21" customFormat="1" x14ac:dyDescent="0.2">
      <c r="A932" s="129">
        <f>IF(F932&lt;&gt;"",1+MAX($A$7:A931),"")</f>
        <v>328</v>
      </c>
      <c r="B932" s="140" t="s">
        <v>105</v>
      </c>
      <c r="C932" s="140" t="s">
        <v>104</v>
      </c>
      <c r="D932" s="141"/>
      <c r="E932" s="163" t="s">
        <v>102</v>
      </c>
      <c r="F932" s="149">
        <f>47.7*2</f>
        <v>95.4</v>
      </c>
      <c r="G932" s="124">
        <v>0.1</v>
      </c>
      <c r="H932" s="143">
        <f>F932*(1+G932)</f>
        <v>104.94000000000001</v>
      </c>
      <c r="I932" s="145" t="s">
        <v>15</v>
      </c>
      <c r="J932" s="37">
        <f>J$148</f>
        <v>0</v>
      </c>
      <c r="K932" s="159">
        <f>J932*H932</f>
        <v>0</v>
      </c>
      <c r="L932" s="160"/>
    </row>
    <row r="933" spans="1:12" s="21" customFormat="1" x14ac:dyDescent="0.2">
      <c r="A933" s="129">
        <f>IF(F933&lt;&gt;"",1+MAX($A$7:A932),"")</f>
        <v>329</v>
      </c>
      <c r="B933" s="140" t="s">
        <v>105</v>
      </c>
      <c r="C933" s="140" t="s">
        <v>104</v>
      </c>
      <c r="D933" s="149"/>
      <c r="E933" s="163" t="s">
        <v>111</v>
      </c>
      <c r="F933" s="149">
        <f>47.7*9</f>
        <v>429.3</v>
      </c>
      <c r="G933" s="124">
        <v>0.1</v>
      </c>
      <c r="H933" s="143">
        <f>F933*(1+G933)</f>
        <v>472.23000000000008</v>
      </c>
      <c r="I933" s="145" t="s">
        <v>18</v>
      </c>
      <c r="J933" s="37">
        <f>J$187</f>
        <v>0</v>
      </c>
      <c r="K933" s="159">
        <f>J933*H933</f>
        <v>0</v>
      </c>
      <c r="L933" s="160"/>
    </row>
    <row r="934" spans="1:12" s="21" customFormat="1" x14ac:dyDescent="0.2">
      <c r="A934" s="129">
        <f>IF(F934&lt;&gt;"",1+MAX($A$7:A933),"")</f>
        <v>330</v>
      </c>
      <c r="B934" s="140" t="s">
        <v>105</v>
      </c>
      <c r="C934" s="140" t="s">
        <v>104</v>
      </c>
      <c r="D934" s="149"/>
      <c r="E934" s="163" t="s">
        <v>116</v>
      </c>
      <c r="F934" s="149">
        <f>47.7*9</f>
        <v>429.3</v>
      </c>
      <c r="G934" s="124">
        <v>0.1</v>
      </c>
      <c r="H934" s="143">
        <f>F934*(1+G934)</f>
        <v>472.23000000000008</v>
      </c>
      <c r="I934" s="145" t="s">
        <v>18</v>
      </c>
      <c r="J934" s="37">
        <f>J$202</f>
        <v>0</v>
      </c>
      <c r="K934" s="159">
        <f>J934*H934</f>
        <v>0</v>
      </c>
      <c r="L934" s="160"/>
    </row>
    <row r="935" spans="1:12" s="21" customFormat="1" x14ac:dyDescent="0.2">
      <c r="A935" s="129" t="str">
        <f>IF(F935&lt;&gt;"",1+MAX($A$7:A934),"")</f>
        <v/>
      </c>
      <c r="B935" s="140"/>
      <c r="C935" s="140"/>
      <c r="D935" s="141"/>
      <c r="E935" s="163"/>
      <c r="F935" s="149"/>
      <c r="G935" s="124"/>
      <c r="H935" s="143"/>
      <c r="I935" s="145"/>
      <c r="J935" s="37"/>
      <c r="K935" s="159"/>
      <c r="L935" s="160"/>
    </row>
    <row r="936" spans="1:12" s="21" customFormat="1" x14ac:dyDescent="0.2">
      <c r="A936" s="129" t="str">
        <f>IF(F936&lt;&gt;"",1+MAX($A$7:A935),"")</f>
        <v/>
      </c>
      <c r="B936" s="140"/>
      <c r="C936" s="140"/>
      <c r="D936" s="141"/>
      <c r="E936" s="158" t="s">
        <v>122</v>
      </c>
      <c r="F936" s="149"/>
      <c r="G936" s="144"/>
      <c r="H936" s="143"/>
      <c r="I936" s="145"/>
      <c r="J936" s="37"/>
      <c r="K936" s="159"/>
      <c r="L936" s="160"/>
    </row>
    <row r="937" spans="1:12" s="21" customFormat="1" x14ac:dyDescent="0.2">
      <c r="A937" s="129">
        <f>IF(F937&lt;&gt;"",1+MAX($A$7:A936),"")</f>
        <v>331</v>
      </c>
      <c r="B937" s="140" t="s">
        <v>105</v>
      </c>
      <c r="C937" s="140" t="s">
        <v>104</v>
      </c>
      <c r="D937" s="149"/>
      <c r="E937" s="163" t="s">
        <v>115</v>
      </c>
      <c r="F937" s="149">
        <f>38.1*9</f>
        <v>342.90000000000003</v>
      </c>
      <c r="G937" s="124">
        <v>0.1</v>
      </c>
      <c r="H937" s="143">
        <f>F937*(1+G937)</f>
        <v>377.19000000000005</v>
      </c>
      <c r="I937" s="145" t="s">
        <v>18</v>
      </c>
      <c r="J937" s="37">
        <f>J$143</f>
        <v>0</v>
      </c>
      <c r="K937" s="159">
        <f>J937*H937</f>
        <v>0</v>
      </c>
      <c r="L937" s="160"/>
    </row>
    <row r="938" spans="1:12" s="21" customFormat="1" x14ac:dyDescent="0.2">
      <c r="A938" s="129" t="str">
        <f>IF(F938&lt;&gt;"",1+MAX($A$7:A937),"")</f>
        <v/>
      </c>
      <c r="B938" s="140"/>
      <c r="C938" s="140"/>
      <c r="D938" s="141"/>
      <c r="E938" s="165" t="s">
        <v>41</v>
      </c>
      <c r="F938" s="166"/>
      <c r="G938" s="167"/>
      <c r="H938" s="143">
        <f>ROUNDUP((H937)/32,0)</f>
        <v>12</v>
      </c>
      <c r="I938" s="145" t="s">
        <v>42</v>
      </c>
      <c r="J938" s="37"/>
      <c r="K938" s="159"/>
      <c r="L938" s="160"/>
    </row>
    <row r="939" spans="1:12" s="21" customFormat="1" x14ac:dyDescent="0.2">
      <c r="A939" s="129" t="str">
        <f>IF(F939&lt;&gt;"",1+MAX($A$7:A938),"")</f>
        <v/>
      </c>
      <c r="B939" s="140"/>
      <c r="C939" s="140"/>
      <c r="D939" s="141"/>
      <c r="E939" s="165" t="s">
        <v>43</v>
      </c>
      <c r="F939" s="166"/>
      <c r="G939" s="167"/>
      <c r="H939" s="143">
        <f>ROUNDUP(H938*24/500,0)</f>
        <v>1</v>
      </c>
      <c r="I939" s="145" t="s">
        <v>44</v>
      </c>
      <c r="J939" s="37"/>
      <c r="K939" s="159"/>
      <c r="L939" s="160"/>
    </row>
    <row r="940" spans="1:12" s="21" customFormat="1" x14ac:dyDescent="0.2">
      <c r="A940" s="129" t="str">
        <f>IF(F940&lt;&gt;"",1+MAX($A$7:A939),"")</f>
        <v/>
      </c>
      <c r="B940" s="140"/>
      <c r="C940" s="140"/>
      <c r="D940" s="141"/>
      <c r="E940" s="165" t="s">
        <v>45</v>
      </c>
      <c r="F940" s="166"/>
      <c r="G940" s="167"/>
      <c r="H940" s="168">
        <f>ROUNDUP((H937)/200,0)</f>
        <v>2</v>
      </c>
      <c r="I940" s="145" t="s">
        <v>46</v>
      </c>
      <c r="J940" s="37"/>
      <c r="K940" s="159"/>
      <c r="L940" s="160"/>
    </row>
    <row r="941" spans="1:12" s="21" customFormat="1" x14ac:dyDescent="0.2">
      <c r="A941" s="129" t="str">
        <f>IF(F941&lt;&gt;"",1+MAX($A$7:A940),"")</f>
        <v/>
      </c>
      <c r="B941" s="140"/>
      <c r="C941" s="140"/>
      <c r="D941" s="141"/>
      <c r="E941" s="165" t="s">
        <v>47</v>
      </c>
      <c r="F941" s="166"/>
      <c r="G941" s="167"/>
      <c r="H941" s="168">
        <f>ROUNDUP((H937)*5.25/1000,0)</f>
        <v>2</v>
      </c>
      <c r="I941" s="145" t="s">
        <v>48</v>
      </c>
      <c r="J941" s="37"/>
      <c r="K941" s="159"/>
      <c r="L941" s="160"/>
    </row>
    <row r="942" spans="1:12" s="21" customFormat="1" x14ac:dyDescent="0.2">
      <c r="A942" s="129">
        <f>IF(F942&lt;&gt;"",1+MAX($A$7:A941),"")</f>
        <v>332</v>
      </c>
      <c r="B942" s="140" t="s">
        <v>105</v>
      </c>
      <c r="C942" s="140" t="s">
        <v>104</v>
      </c>
      <c r="D942" s="149"/>
      <c r="E942" s="163" t="s">
        <v>101</v>
      </c>
      <c r="F942" s="149">
        <f>22*9</f>
        <v>198</v>
      </c>
      <c r="G942" s="124">
        <v>0.1</v>
      </c>
      <c r="H942" s="143">
        <f>F942*(1+G942)</f>
        <v>217.8</v>
      </c>
      <c r="I942" s="145" t="s">
        <v>18</v>
      </c>
      <c r="J942" s="37">
        <f>J$160</f>
        <v>0</v>
      </c>
      <c r="K942" s="159">
        <f>J942*H942</f>
        <v>0</v>
      </c>
      <c r="L942" s="160"/>
    </row>
    <row r="943" spans="1:12" s="21" customFormat="1" x14ac:dyDescent="0.2">
      <c r="A943" s="129" t="str">
        <f>IF(F943&lt;&gt;"",1+MAX($A$7:A942),"")</f>
        <v/>
      </c>
      <c r="B943" s="140"/>
      <c r="C943" s="140"/>
      <c r="D943" s="141"/>
      <c r="E943" s="165" t="s">
        <v>41</v>
      </c>
      <c r="F943" s="166"/>
      <c r="G943" s="167"/>
      <c r="H943" s="143">
        <f>ROUNDUP((H942)/32,0)</f>
        <v>7</v>
      </c>
      <c r="I943" s="145" t="s">
        <v>42</v>
      </c>
      <c r="J943" s="37"/>
      <c r="K943" s="159"/>
      <c r="L943" s="160"/>
    </row>
    <row r="944" spans="1:12" s="21" customFormat="1" x14ac:dyDescent="0.2">
      <c r="A944" s="129" t="str">
        <f>IF(F944&lt;&gt;"",1+MAX($A$7:A943),"")</f>
        <v/>
      </c>
      <c r="B944" s="140"/>
      <c r="C944" s="140"/>
      <c r="D944" s="141"/>
      <c r="E944" s="165" t="s">
        <v>43</v>
      </c>
      <c r="F944" s="166"/>
      <c r="G944" s="167"/>
      <c r="H944" s="143">
        <f>ROUNDUP(H943*24/500,0)</f>
        <v>1</v>
      </c>
      <c r="I944" s="145" t="s">
        <v>44</v>
      </c>
      <c r="J944" s="37"/>
      <c r="K944" s="159"/>
      <c r="L944" s="160"/>
    </row>
    <row r="945" spans="1:12" s="21" customFormat="1" x14ac:dyDescent="0.2">
      <c r="A945" s="129" t="str">
        <f>IF(F945&lt;&gt;"",1+MAX($A$7:A944),"")</f>
        <v/>
      </c>
      <c r="B945" s="140"/>
      <c r="C945" s="140"/>
      <c r="D945" s="141"/>
      <c r="E945" s="165" t="s">
        <v>45</v>
      </c>
      <c r="F945" s="166"/>
      <c r="G945" s="167"/>
      <c r="H945" s="168">
        <f>ROUNDUP((H942)/200,0)</f>
        <v>2</v>
      </c>
      <c r="I945" s="145" t="s">
        <v>46</v>
      </c>
      <c r="J945" s="37"/>
      <c r="K945" s="159"/>
      <c r="L945" s="160"/>
    </row>
    <row r="946" spans="1:12" s="21" customFormat="1" x14ac:dyDescent="0.2">
      <c r="A946" s="129" t="str">
        <f>IF(F946&lt;&gt;"",1+MAX($A$7:A945),"")</f>
        <v/>
      </c>
      <c r="B946" s="140"/>
      <c r="C946" s="140"/>
      <c r="D946" s="141"/>
      <c r="E946" s="165" t="s">
        <v>47</v>
      </c>
      <c r="F946" s="166"/>
      <c r="G946" s="167"/>
      <c r="H946" s="168">
        <f>ROUNDUP((H942)*5.25/1000,0)</f>
        <v>2</v>
      </c>
      <c r="I946" s="145" t="s">
        <v>48</v>
      </c>
      <c r="J946" s="37"/>
      <c r="K946" s="159"/>
      <c r="L946" s="160"/>
    </row>
    <row r="947" spans="1:12" s="21" customFormat="1" x14ac:dyDescent="0.2">
      <c r="A947" s="129">
        <f>IF(F947&lt;&gt;"",1+MAX($A$7:A946),"")</f>
        <v>333</v>
      </c>
      <c r="B947" s="140" t="s">
        <v>105</v>
      </c>
      <c r="C947" s="140" t="s">
        <v>104</v>
      </c>
      <c r="D947" s="141"/>
      <c r="E947" s="163" t="s">
        <v>102</v>
      </c>
      <c r="F947" s="149">
        <f>60.1*2</f>
        <v>120.2</v>
      </c>
      <c r="G947" s="124">
        <v>0.1</v>
      </c>
      <c r="H947" s="143">
        <f>F947*(1+G947)</f>
        <v>132.22000000000003</v>
      </c>
      <c r="I947" s="145" t="s">
        <v>15</v>
      </c>
      <c r="J947" s="37">
        <f>J$148</f>
        <v>0</v>
      </c>
      <c r="K947" s="159">
        <f>J947*H947</f>
        <v>0</v>
      </c>
      <c r="L947" s="160"/>
    </row>
    <row r="948" spans="1:12" s="21" customFormat="1" x14ac:dyDescent="0.2">
      <c r="A948" s="129">
        <f>IF(F948&lt;&gt;"",1+MAX($A$7:A947),"")</f>
        <v>334</v>
      </c>
      <c r="B948" s="140" t="s">
        <v>105</v>
      </c>
      <c r="C948" s="140" t="s">
        <v>104</v>
      </c>
      <c r="D948" s="149"/>
      <c r="E948" s="163" t="s">
        <v>349</v>
      </c>
      <c r="F948" s="149">
        <f>60.1*9</f>
        <v>540.9</v>
      </c>
      <c r="G948" s="124">
        <v>0.1</v>
      </c>
      <c r="H948" s="143">
        <f>F948*(1+G948)</f>
        <v>594.99</v>
      </c>
      <c r="I948" s="145" t="s">
        <v>18</v>
      </c>
      <c r="J948" s="37">
        <f>J$276</f>
        <v>0</v>
      </c>
      <c r="K948" s="159">
        <f>J948*H948</f>
        <v>0</v>
      </c>
      <c r="L948" s="160"/>
    </row>
    <row r="949" spans="1:12" s="21" customFormat="1" x14ac:dyDescent="0.2">
      <c r="A949" s="129">
        <f>IF(F949&lt;&gt;"",1+MAX($A$7:A948),"")</f>
        <v>335</v>
      </c>
      <c r="B949" s="140" t="s">
        <v>105</v>
      </c>
      <c r="C949" s="140" t="s">
        <v>104</v>
      </c>
      <c r="D949" s="149"/>
      <c r="E949" s="163" t="s">
        <v>116</v>
      </c>
      <c r="F949" s="149">
        <f>60.1*9</f>
        <v>540.9</v>
      </c>
      <c r="G949" s="124">
        <v>0.1</v>
      </c>
      <c r="H949" s="143">
        <f>F949*(1+G949)</f>
        <v>594.99</v>
      </c>
      <c r="I949" s="145" t="s">
        <v>18</v>
      </c>
      <c r="J949" s="37">
        <f>J$202</f>
        <v>0</v>
      </c>
      <c r="K949" s="159">
        <f>J949*H949</f>
        <v>0</v>
      </c>
      <c r="L949" s="160"/>
    </row>
    <row r="950" spans="1:12" s="21" customFormat="1" x14ac:dyDescent="0.2">
      <c r="A950" s="129" t="str">
        <f>IF(F950&lt;&gt;"",1+MAX($A$7:A949),"")</f>
        <v/>
      </c>
      <c r="B950" s="140"/>
      <c r="C950" s="140"/>
      <c r="D950" s="141"/>
      <c r="E950" s="163"/>
      <c r="F950" s="149"/>
      <c r="G950" s="124"/>
      <c r="H950" s="143"/>
      <c r="I950" s="145"/>
      <c r="J950" s="37"/>
      <c r="K950" s="159"/>
      <c r="L950" s="160"/>
    </row>
    <row r="951" spans="1:12" s="21" customFormat="1" x14ac:dyDescent="0.2">
      <c r="A951" s="129" t="str">
        <f>IF(F951&lt;&gt;"",1+MAX($A$7:A950),"")</f>
        <v/>
      </c>
      <c r="B951" s="140"/>
      <c r="C951" s="140"/>
      <c r="D951" s="141"/>
      <c r="E951" s="158" t="s">
        <v>123</v>
      </c>
      <c r="F951" s="149"/>
      <c r="G951" s="144"/>
      <c r="H951" s="143"/>
      <c r="I951" s="145"/>
      <c r="J951" s="37"/>
      <c r="K951" s="159"/>
      <c r="L951" s="160"/>
    </row>
    <row r="952" spans="1:12" s="21" customFormat="1" ht="31.5" x14ac:dyDescent="0.2">
      <c r="A952" s="129">
        <f>IF(F952&lt;&gt;"",1+MAX($A$7:A951),"")</f>
        <v>336</v>
      </c>
      <c r="B952" s="140" t="s">
        <v>105</v>
      </c>
      <c r="C952" s="140" t="s">
        <v>104</v>
      </c>
      <c r="D952" s="149"/>
      <c r="E952" s="163" t="s">
        <v>65</v>
      </c>
      <c r="F952" s="149">
        <f>(65+27.1)*9*2*2</f>
        <v>3315.6</v>
      </c>
      <c r="G952" s="124">
        <v>0.1</v>
      </c>
      <c r="H952" s="143">
        <f>F952*(1+G952)</f>
        <v>3647.1600000000003</v>
      </c>
      <c r="I952" s="145" t="s">
        <v>18</v>
      </c>
      <c r="J952" s="37">
        <f>J$143</f>
        <v>0</v>
      </c>
      <c r="K952" s="159">
        <f>J952*H952</f>
        <v>0</v>
      </c>
      <c r="L952" s="160"/>
    </row>
    <row r="953" spans="1:12" s="21" customFormat="1" x14ac:dyDescent="0.2">
      <c r="A953" s="129" t="str">
        <f>IF(F953&lt;&gt;"",1+MAX($A$7:A952),"")</f>
        <v/>
      </c>
      <c r="B953" s="140"/>
      <c r="C953" s="140"/>
      <c r="D953" s="141"/>
      <c r="E953" s="165" t="s">
        <v>41</v>
      </c>
      <c r="F953" s="166"/>
      <c r="G953" s="167"/>
      <c r="H953" s="143">
        <f>ROUNDUP((H952)/32,0)</f>
        <v>114</v>
      </c>
      <c r="I953" s="145" t="s">
        <v>42</v>
      </c>
      <c r="J953" s="37"/>
      <c r="K953" s="159"/>
      <c r="L953" s="160"/>
    </row>
    <row r="954" spans="1:12" s="21" customFormat="1" x14ac:dyDescent="0.2">
      <c r="A954" s="129" t="str">
        <f>IF(F954&lt;&gt;"",1+MAX($A$7:A953),"")</f>
        <v/>
      </c>
      <c r="B954" s="140"/>
      <c r="C954" s="140"/>
      <c r="D954" s="141"/>
      <c r="E954" s="165" t="s">
        <v>43</v>
      </c>
      <c r="F954" s="166"/>
      <c r="G954" s="167"/>
      <c r="H954" s="143">
        <f>ROUNDUP(H953*24/500,0)</f>
        <v>6</v>
      </c>
      <c r="I954" s="145" t="s">
        <v>44</v>
      </c>
      <c r="J954" s="37"/>
      <c r="K954" s="159"/>
      <c r="L954" s="160"/>
    </row>
    <row r="955" spans="1:12" s="21" customFormat="1" x14ac:dyDescent="0.2">
      <c r="A955" s="129" t="str">
        <f>IF(F955&lt;&gt;"",1+MAX($A$7:A954),"")</f>
        <v/>
      </c>
      <c r="B955" s="140"/>
      <c r="C955" s="140"/>
      <c r="D955" s="141"/>
      <c r="E955" s="165" t="s">
        <v>45</v>
      </c>
      <c r="F955" s="166"/>
      <c r="G955" s="167"/>
      <c r="H955" s="168">
        <f>ROUNDUP((H952)/200,0)</f>
        <v>19</v>
      </c>
      <c r="I955" s="145" t="s">
        <v>46</v>
      </c>
      <c r="J955" s="37"/>
      <c r="K955" s="159"/>
      <c r="L955" s="160"/>
    </row>
    <row r="956" spans="1:12" s="21" customFormat="1" x14ac:dyDescent="0.2">
      <c r="A956" s="129" t="str">
        <f>IF(F956&lt;&gt;"",1+MAX($A$7:A955),"")</f>
        <v/>
      </c>
      <c r="B956" s="140"/>
      <c r="C956" s="140"/>
      <c r="D956" s="141"/>
      <c r="E956" s="165" t="s">
        <v>47</v>
      </c>
      <c r="F956" s="166"/>
      <c r="G956" s="167"/>
      <c r="H956" s="168">
        <f>ROUNDUP((H952)*5.25/1000,0)</f>
        <v>20</v>
      </c>
      <c r="I956" s="145" t="s">
        <v>48</v>
      </c>
      <c r="J956" s="37"/>
      <c r="K956" s="159"/>
      <c r="L956" s="160"/>
    </row>
    <row r="957" spans="1:12" s="21" customFormat="1" x14ac:dyDescent="0.2">
      <c r="A957" s="129">
        <f>IF(F957&lt;&gt;"",1+MAX($A$7:A956),"")</f>
        <v>337</v>
      </c>
      <c r="B957" s="140" t="s">
        <v>105</v>
      </c>
      <c r="C957" s="140" t="s">
        <v>104</v>
      </c>
      <c r="D957" s="141"/>
      <c r="E957" s="163" t="s">
        <v>102</v>
      </c>
      <c r="F957" s="149">
        <f>(65+27.1)*4</f>
        <v>368.4</v>
      </c>
      <c r="G957" s="124">
        <v>0.1</v>
      </c>
      <c r="H957" s="143">
        <f>F957*(1+G957)</f>
        <v>405.24</v>
      </c>
      <c r="I957" s="145" t="s">
        <v>15</v>
      </c>
      <c r="J957" s="37">
        <f>J$148</f>
        <v>0</v>
      </c>
      <c r="K957" s="159">
        <f>J957*H957</f>
        <v>0</v>
      </c>
      <c r="L957" s="160"/>
    </row>
    <row r="958" spans="1:12" s="21" customFormat="1" x14ac:dyDescent="0.2">
      <c r="A958" s="129">
        <f>IF(F958&lt;&gt;"",1+MAX($A$7:A957),"")</f>
        <v>338</v>
      </c>
      <c r="B958" s="140" t="s">
        <v>105</v>
      </c>
      <c r="C958" s="140" t="s">
        <v>104</v>
      </c>
      <c r="D958" s="149"/>
      <c r="E958" s="163" t="s">
        <v>111</v>
      </c>
      <c r="F958" s="149">
        <f>(65+27.1)*9</f>
        <v>828.9</v>
      </c>
      <c r="G958" s="124">
        <v>0.1</v>
      </c>
      <c r="H958" s="143">
        <f>F958*(1+G958)</f>
        <v>911.79000000000008</v>
      </c>
      <c r="I958" s="145" t="s">
        <v>18</v>
      </c>
      <c r="J958" s="37">
        <f>J$187</f>
        <v>0</v>
      </c>
      <c r="K958" s="159">
        <f>J958*H958</f>
        <v>0</v>
      </c>
      <c r="L958" s="160"/>
    </row>
    <row r="959" spans="1:12" s="21" customFormat="1" x14ac:dyDescent="0.2">
      <c r="A959" s="129">
        <f>IF(F959&lt;&gt;"",1+MAX($A$7:A958),"")</f>
        <v>339</v>
      </c>
      <c r="B959" s="140" t="s">
        <v>105</v>
      </c>
      <c r="C959" s="140" t="s">
        <v>104</v>
      </c>
      <c r="D959" s="149"/>
      <c r="E959" s="163" t="s">
        <v>116</v>
      </c>
      <c r="F959" s="149">
        <f>(65+27.1)*9</f>
        <v>828.9</v>
      </c>
      <c r="G959" s="124">
        <v>0.1</v>
      </c>
      <c r="H959" s="143">
        <f>F959*(1+G959)</f>
        <v>911.79000000000008</v>
      </c>
      <c r="I959" s="145" t="s">
        <v>18</v>
      </c>
      <c r="J959" s="37">
        <f>J$202</f>
        <v>0</v>
      </c>
      <c r="K959" s="159">
        <f>J959*H959</f>
        <v>0</v>
      </c>
      <c r="L959" s="160"/>
    </row>
    <row r="960" spans="1:12" s="21" customFormat="1" x14ac:dyDescent="0.2">
      <c r="A960" s="129" t="str">
        <f>IF(F960&lt;&gt;"",1+MAX($A$7:A959),"")</f>
        <v/>
      </c>
      <c r="B960" s="140"/>
      <c r="C960" s="140"/>
      <c r="D960" s="141"/>
      <c r="E960" s="163"/>
      <c r="F960" s="149"/>
      <c r="G960" s="124"/>
      <c r="H960" s="143"/>
      <c r="I960" s="145"/>
      <c r="J960" s="37"/>
      <c r="K960" s="159"/>
      <c r="L960" s="160"/>
    </row>
    <row r="961" spans="1:12" s="21" customFormat="1" x14ac:dyDescent="0.2">
      <c r="A961" s="129" t="str">
        <f>IF(F961&lt;&gt;"",1+MAX($A$7:A960),"")</f>
        <v/>
      </c>
      <c r="B961" s="140"/>
      <c r="C961" s="140"/>
      <c r="D961" s="141"/>
      <c r="E961" s="158" t="s">
        <v>124</v>
      </c>
      <c r="F961" s="149"/>
      <c r="G961" s="144"/>
      <c r="H961" s="143"/>
      <c r="I961" s="145"/>
      <c r="J961" s="37"/>
      <c r="K961" s="159"/>
      <c r="L961" s="160"/>
    </row>
    <row r="962" spans="1:12" s="21" customFormat="1" ht="31.5" x14ac:dyDescent="0.2">
      <c r="A962" s="129">
        <f>IF(F962&lt;&gt;"",1+MAX($A$7:A961),"")</f>
        <v>340</v>
      </c>
      <c r="B962" s="140" t="s">
        <v>105</v>
      </c>
      <c r="C962" s="140" t="s">
        <v>104</v>
      </c>
      <c r="D962" s="149"/>
      <c r="E962" s="163" t="s">
        <v>65</v>
      </c>
      <c r="F962" s="149">
        <f>8*9*3</f>
        <v>216</v>
      </c>
      <c r="G962" s="124">
        <v>0.1</v>
      </c>
      <c r="H962" s="143">
        <f>F962*(1+G962)</f>
        <v>237.60000000000002</v>
      </c>
      <c r="I962" s="145" t="s">
        <v>18</v>
      </c>
      <c r="J962" s="37">
        <f>J$143</f>
        <v>0</v>
      </c>
      <c r="K962" s="159">
        <f>J962*H962</f>
        <v>0</v>
      </c>
      <c r="L962" s="160"/>
    </row>
    <row r="963" spans="1:12" s="21" customFormat="1" x14ac:dyDescent="0.2">
      <c r="A963" s="129" t="str">
        <f>IF(F963&lt;&gt;"",1+MAX($A$7:A962),"")</f>
        <v/>
      </c>
      <c r="B963" s="140"/>
      <c r="C963" s="140"/>
      <c r="D963" s="141"/>
      <c r="E963" s="165" t="s">
        <v>41</v>
      </c>
      <c r="F963" s="166"/>
      <c r="G963" s="167"/>
      <c r="H963" s="143">
        <f>ROUNDUP((H962)/32,0)</f>
        <v>8</v>
      </c>
      <c r="I963" s="145" t="s">
        <v>42</v>
      </c>
      <c r="J963" s="37"/>
      <c r="K963" s="159"/>
      <c r="L963" s="160"/>
    </row>
    <row r="964" spans="1:12" s="21" customFormat="1" x14ac:dyDescent="0.2">
      <c r="A964" s="129" t="str">
        <f>IF(F964&lt;&gt;"",1+MAX($A$7:A963),"")</f>
        <v/>
      </c>
      <c r="B964" s="140"/>
      <c r="C964" s="140"/>
      <c r="D964" s="141"/>
      <c r="E964" s="165" t="s">
        <v>43</v>
      </c>
      <c r="F964" s="166"/>
      <c r="G964" s="167"/>
      <c r="H964" s="143">
        <f>ROUNDUP(H963*24/500,0)</f>
        <v>1</v>
      </c>
      <c r="I964" s="145" t="s">
        <v>44</v>
      </c>
      <c r="J964" s="37"/>
      <c r="K964" s="159"/>
      <c r="L964" s="160"/>
    </row>
    <row r="965" spans="1:12" s="21" customFormat="1" x14ac:dyDescent="0.2">
      <c r="A965" s="129" t="str">
        <f>IF(F965&lt;&gt;"",1+MAX($A$7:A964),"")</f>
        <v/>
      </c>
      <c r="B965" s="140"/>
      <c r="C965" s="140"/>
      <c r="D965" s="141"/>
      <c r="E965" s="165" t="s">
        <v>45</v>
      </c>
      <c r="F965" s="166"/>
      <c r="G965" s="167"/>
      <c r="H965" s="168">
        <f>ROUNDUP((H962)/200,0)</f>
        <v>2</v>
      </c>
      <c r="I965" s="145" t="s">
        <v>46</v>
      </c>
      <c r="J965" s="37"/>
      <c r="K965" s="159"/>
      <c r="L965" s="160"/>
    </row>
    <row r="966" spans="1:12" s="21" customFormat="1" x14ac:dyDescent="0.2">
      <c r="A966" s="129" t="str">
        <f>IF(F966&lt;&gt;"",1+MAX($A$7:A965),"")</f>
        <v/>
      </c>
      <c r="B966" s="140"/>
      <c r="C966" s="140"/>
      <c r="D966" s="141"/>
      <c r="E966" s="165" t="s">
        <v>47</v>
      </c>
      <c r="F966" s="166"/>
      <c r="G966" s="167"/>
      <c r="H966" s="168">
        <f>ROUNDUP((H962)*5.25/1000,0)</f>
        <v>2</v>
      </c>
      <c r="I966" s="145" t="s">
        <v>48</v>
      </c>
      <c r="J966" s="37"/>
      <c r="K966" s="159"/>
      <c r="L966" s="160"/>
    </row>
    <row r="967" spans="1:12" s="21" customFormat="1" x14ac:dyDescent="0.2">
      <c r="A967" s="129">
        <f>IF(F967&lt;&gt;"",1+MAX($A$7:A966),"")</f>
        <v>341</v>
      </c>
      <c r="B967" s="140" t="s">
        <v>105</v>
      </c>
      <c r="C967" s="140" t="s">
        <v>104</v>
      </c>
      <c r="D967" s="149"/>
      <c r="E967" s="163" t="s">
        <v>101</v>
      </c>
      <c r="F967" s="149">
        <f>8*9</f>
        <v>72</v>
      </c>
      <c r="G967" s="124">
        <v>0.1</v>
      </c>
      <c r="H967" s="143">
        <f>F967*(1+G967)</f>
        <v>79.2</v>
      </c>
      <c r="I967" s="145" t="s">
        <v>18</v>
      </c>
      <c r="J967" s="37">
        <f>J$160</f>
        <v>0</v>
      </c>
      <c r="K967" s="159">
        <f>J967*H967</f>
        <v>0</v>
      </c>
      <c r="L967" s="160"/>
    </row>
    <row r="968" spans="1:12" s="21" customFormat="1" x14ac:dyDescent="0.2">
      <c r="A968" s="129" t="str">
        <f>IF(F968&lt;&gt;"",1+MAX($A$7:A967),"")</f>
        <v/>
      </c>
      <c r="B968" s="140"/>
      <c r="C968" s="140"/>
      <c r="D968" s="141"/>
      <c r="E968" s="165" t="s">
        <v>41</v>
      </c>
      <c r="F968" s="166"/>
      <c r="G968" s="167"/>
      <c r="H968" s="143">
        <f>ROUNDUP((H967)/32,0)</f>
        <v>3</v>
      </c>
      <c r="I968" s="145" t="s">
        <v>42</v>
      </c>
      <c r="J968" s="37"/>
      <c r="K968" s="159"/>
      <c r="L968" s="160"/>
    </row>
    <row r="969" spans="1:12" s="21" customFormat="1" x14ac:dyDescent="0.2">
      <c r="A969" s="129" t="str">
        <f>IF(F969&lt;&gt;"",1+MAX($A$7:A968),"")</f>
        <v/>
      </c>
      <c r="B969" s="140"/>
      <c r="C969" s="140"/>
      <c r="D969" s="141"/>
      <c r="E969" s="165" t="s">
        <v>43</v>
      </c>
      <c r="F969" s="166"/>
      <c r="G969" s="167"/>
      <c r="H969" s="143">
        <f>ROUNDUP(H968*24/500,0)</f>
        <v>1</v>
      </c>
      <c r="I969" s="145" t="s">
        <v>44</v>
      </c>
      <c r="J969" s="37"/>
      <c r="K969" s="159"/>
      <c r="L969" s="160"/>
    </row>
    <row r="970" spans="1:12" s="21" customFormat="1" x14ac:dyDescent="0.2">
      <c r="A970" s="129" t="str">
        <f>IF(F970&lt;&gt;"",1+MAX($A$7:A969),"")</f>
        <v/>
      </c>
      <c r="B970" s="140"/>
      <c r="C970" s="140"/>
      <c r="D970" s="141"/>
      <c r="E970" s="165" t="s">
        <v>45</v>
      </c>
      <c r="F970" s="166"/>
      <c r="G970" s="167"/>
      <c r="H970" s="168">
        <f>ROUNDUP((H967)/200,0)</f>
        <v>1</v>
      </c>
      <c r="I970" s="145" t="s">
        <v>46</v>
      </c>
      <c r="J970" s="37"/>
      <c r="K970" s="159"/>
      <c r="L970" s="160"/>
    </row>
    <row r="971" spans="1:12" s="21" customFormat="1" x14ac:dyDescent="0.2">
      <c r="A971" s="129" t="str">
        <f>IF(F971&lt;&gt;"",1+MAX($A$7:A970),"")</f>
        <v/>
      </c>
      <c r="B971" s="140"/>
      <c r="C971" s="140"/>
      <c r="D971" s="141"/>
      <c r="E971" s="165" t="s">
        <v>47</v>
      </c>
      <c r="F971" s="166"/>
      <c r="G971" s="167"/>
      <c r="H971" s="168">
        <f>ROUNDUP((H967)*5.25/1000,0)</f>
        <v>1</v>
      </c>
      <c r="I971" s="145" t="s">
        <v>48</v>
      </c>
      <c r="J971" s="37"/>
      <c r="K971" s="159"/>
      <c r="L971" s="160"/>
    </row>
    <row r="972" spans="1:12" s="21" customFormat="1" x14ac:dyDescent="0.2">
      <c r="A972" s="129">
        <f>IF(F972&lt;&gt;"",1+MAX($A$7:A971),"")</f>
        <v>342</v>
      </c>
      <c r="B972" s="140" t="s">
        <v>105</v>
      </c>
      <c r="C972" s="140" t="s">
        <v>104</v>
      </c>
      <c r="D972" s="141"/>
      <c r="E972" s="163" t="s">
        <v>102</v>
      </c>
      <c r="F972" s="149">
        <f>8*4</f>
        <v>32</v>
      </c>
      <c r="G972" s="124">
        <v>0.1</v>
      </c>
      <c r="H972" s="143">
        <f>F972*(1+G972)</f>
        <v>35.200000000000003</v>
      </c>
      <c r="I972" s="145" t="s">
        <v>15</v>
      </c>
      <c r="J972" s="37">
        <f>J$148</f>
        <v>0</v>
      </c>
      <c r="K972" s="159">
        <f>J972*H972</f>
        <v>0</v>
      </c>
      <c r="L972" s="160"/>
    </row>
    <row r="973" spans="1:12" s="21" customFormat="1" x14ac:dyDescent="0.2">
      <c r="A973" s="129">
        <f>IF(F973&lt;&gt;"",1+MAX($A$7:A972),"")</f>
        <v>343</v>
      </c>
      <c r="B973" s="140" t="s">
        <v>105</v>
      </c>
      <c r="C973" s="140" t="s">
        <v>104</v>
      </c>
      <c r="D973" s="149"/>
      <c r="E973" s="163" t="s">
        <v>112</v>
      </c>
      <c r="F973" s="149">
        <f>8*9</f>
        <v>72</v>
      </c>
      <c r="G973" s="124">
        <v>0.1</v>
      </c>
      <c r="H973" s="143">
        <f>F973*(1+G973)</f>
        <v>79.2</v>
      </c>
      <c r="I973" s="145" t="s">
        <v>18</v>
      </c>
      <c r="J973" s="37">
        <f>J$226</f>
        <v>0</v>
      </c>
      <c r="K973" s="159">
        <f>J973*H973</f>
        <v>0</v>
      </c>
      <c r="L973" s="160"/>
    </row>
    <row r="974" spans="1:12" s="21" customFormat="1" x14ac:dyDescent="0.2">
      <c r="A974" s="129">
        <f>IF(F974&lt;&gt;"",1+MAX($A$7:A973),"")</f>
        <v>344</v>
      </c>
      <c r="B974" s="140" t="s">
        <v>105</v>
      </c>
      <c r="C974" s="140" t="s">
        <v>104</v>
      </c>
      <c r="D974" s="149"/>
      <c r="E974" s="163" t="s">
        <v>116</v>
      </c>
      <c r="F974" s="149">
        <f>8*9</f>
        <v>72</v>
      </c>
      <c r="G974" s="124">
        <v>0.1</v>
      </c>
      <c r="H974" s="143">
        <f>F974*(1+G974)</f>
        <v>79.2</v>
      </c>
      <c r="I974" s="145" t="s">
        <v>18</v>
      </c>
      <c r="J974" s="37">
        <f>J$202</f>
        <v>0</v>
      </c>
      <c r="K974" s="159">
        <f>J974*H974</f>
        <v>0</v>
      </c>
      <c r="L974" s="160"/>
    </row>
    <row r="975" spans="1:12" s="21" customFormat="1" x14ac:dyDescent="0.2">
      <c r="A975" s="129" t="str">
        <f>IF(F975&lt;&gt;"",1+MAX($A$7:A974),"")</f>
        <v/>
      </c>
      <c r="B975" s="140"/>
      <c r="C975" s="140"/>
      <c r="D975" s="141"/>
      <c r="E975" s="163"/>
      <c r="F975" s="149"/>
      <c r="G975" s="124"/>
      <c r="H975" s="143"/>
      <c r="I975" s="145"/>
      <c r="J975" s="37"/>
      <c r="K975" s="159"/>
      <c r="L975" s="160"/>
    </row>
    <row r="976" spans="1:12" s="21" customFormat="1" x14ac:dyDescent="0.2">
      <c r="A976" s="129" t="str">
        <f>IF(F976&lt;&gt;"",1+MAX($A$7:A975),"")</f>
        <v/>
      </c>
      <c r="B976" s="140"/>
      <c r="C976" s="140"/>
      <c r="D976" s="141"/>
      <c r="E976" s="158" t="s">
        <v>132</v>
      </c>
      <c r="F976" s="149"/>
      <c r="G976" s="144"/>
      <c r="H976" s="143"/>
      <c r="I976" s="145"/>
      <c r="J976" s="37"/>
      <c r="K976" s="159"/>
      <c r="L976" s="160"/>
    </row>
    <row r="977" spans="1:12" s="21" customFormat="1" x14ac:dyDescent="0.2">
      <c r="A977" s="129">
        <f>IF(F977&lt;&gt;"",1+MAX($A$7:A976),"")</f>
        <v>345</v>
      </c>
      <c r="B977" s="140" t="s">
        <v>105</v>
      </c>
      <c r="C977" s="140" t="s">
        <v>104</v>
      </c>
      <c r="D977" s="149"/>
      <c r="E977" s="163" t="s">
        <v>100</v>
      </c>
      <c r="F977" s="149">
        <f>28.4*9*2</f>
        <v>511.2</v>
      </c>
      <c r="G977" s="124">
        <v>0.1</v>
      </c>
      <c r="H977" s="143">
        <f>F977*(1+G977)</f>
        <v>562.32000000000005</v>
      </c>
      <c r="I977" s="145" t="s">
        <v>18</v>
      </c>
      <c r="J977" s="37">
        <f>J$143</f>
        <v>0</v>
      </c>
      <c r="K977" s="159">
        <f>J977*H977</f>
        <v>0</v>
      </c>
      <c r="L977" s="160"/>
    </row>
    <row r="978" spans="1:12" s="21" customFormat="1" x14ac:dyDescent="0.2">
      <c r="A978" s="129" t="str">
        <f>IF(F978&lt;&gt;"",1+MAX($A$7:A977),"")</f>
        <v/>
      </c>
      <c r="B978" s="140"/>
      <c r="C978" s="140"/>
      <c r="D978" s="141"/>
      <c r="E978" s="165" t="s">
        <v>41</v>
      </c>
      <c r="F978" s="166"/>
      <c r="G978" s="167"/>
      <c r="H978" s="143">
        <f>ROUNDUP((H977)/32,0)</f>
        <v>18</v>
      </c>
      <c r="I978" s="145" t="s">
        <v>42</v>
      </c>
      <c r="J978" s="37"/>
      <c r="K978" s="159"/>
      <c r="L978" s="160"/>
    </row>
    <row r="979" spans="1:12" s="21" customFormat="1" x14ac:dyDescent="0.2">
      <c r="A979" s="129" t="str">
        <f>IF(F979&lt;&gt;"",1+MAX($A$7:A978),"")</f>
        <v/>
      </c>
      <c r="B979" s="140"/>
      <c r="C979" s="140"/>
      <c r="D979" s="141"/>
      <c r="E979" s="165" t="s">
        <v>43</v>
      </c>
      <c r="F979" s="166"/>
      <c r="G979" s="167"/>
      <c r="H979" s="143">
        <f>ROUNDUP(H978*24/500,0)</f>
        <v>1</v>
      </c>
      <c r="I979" s="145" t="s">
        <v>44</v>
      </c>
      <c r="J979" s="37"/>
      <c r="K979" s="159"/>
      <c r="L979" s="160"/>
    </row>
    <row r="980" spans="1:12" s="21" customFormat="1" x14ac:dyDescent="0.2">
      <c r="A980" s="129" t="str">
        <f>IF(F980&lt;&gt;"",1+MAX($A$7:A979),"")</f>
        <v/>
      </c>
      <c r="B980" s="140"/>
      <c r="C980" s="140"/>
      <c r="D980" s="141"/>
      <c r="E980" s="165" t="s">
        <v>45</v>
      </c>
      <c r="F980" s="166"/>
      <c r="G980" s="167"/>
      <c r="H980" s="168">
        <f>ROUNDUP((H977)/200,0)</f>
        <v>3</v>
      </c>
      <c r="I980" s="145" t="s">
        <v>46</v>
      </c>
      <c r="J980" s="37"/>
      <c r="K980" s="159"/>
      <c r="L980" s="160"/>
    </row>
    <row r="981" spans="1:12" s="21" customFormat="1" x14ac:dyDescent="0.2">
      <c r="A981" s="129" t="str">
        <f>IF(F981&lt;&gt;"",1+MAX($A$7:A980),"")</f>
        <v/>
      </c>
      <c r="B981" s="140"/>
      <c r="C981" s="140"/>
      <c r="D981" s="141"/>
      <c r="E981" s="165" t="s">
        <v>47</v>
      </c>
      <c r="F981" s="166"/>
      <c r="G981" s="167"/>
      <c r="H981" s="168">
        <f>ROUNDUP((H977)*5.25/1000,0)</f>
        <v>3</v>
      </c>
      <c r="I981" s="145" t="s">
        <v>48</v>
      </c>
      <c r="J981" s="37"/>
      <c r="K981" s="159"/>
      <c r="L981" s="160"/>
    </row>
    <row r="982" spans="1:12" s="21" customFormat="1" x14ac:dyDescent="0.2">
      <c r="A982" s="129">
        <f>IF(F982&lt;&gt;"",1+MAX($A$7:A981),"")</f>
        <v>346</v>
      </c>
      <c r="B982" s="140" t="s">
        <v>105</v>
      </c>
      <c r="C982" s="140" t="s">
        <v>104</v>
      </c>
      <c r="D982" s="141"/>
      <c r="E982" s="163" t="s">
        <v>102</v>
      </c>
      <c r="F982" s="149">
        <f>28.4*4</f>
        <v>113.6</v>
      </c>
      <c r="G982" s="124">
        <v>0.1</v>
      </c>
      <c r="H982" s="143">
        <f>F982*(1+G982)</f>
        <v>124.96000000000001</v>
      </c>
      <c r="I982" s="145" t="s">
        <v>15</v>
      </c>
      <c r="J982" s="37">
        <f>J$148</f>
        <v>0</v>
      </c>
      <c r="K982" s="159">
        <f>J982*H982</f>
        <v>0</v>
      </c>
      <c r="L982" s="160"/>
    </row>
    <row r="983" spans="1:12" s="21" customFormat="1" x14ac:dyDescent="0.2">
      <c r="A983" s="129">
        <f>IF(F983&lt;&gt;"",1+MAX($A$7:A982),"")</f>
        <v>347</v>
      </c>
      <c r="B983" s="140" t="s">
        <v>105</v>
      </c>
      <c r="C983" s="140" t="s">
        <v>104</v>
      </c>
      <c r="D983" s="149"/>
      <c r="E983" s="163" t="s">
        <v>349</v>
      </c>
      <c r="F983" s="149">
        <f>28.4*9</f>
        <v>255.6</v>
      </c>
      <c r="G983" s="124">
        <v>0.1</v>
      </c>
      <c r="H983" s="143">
        <f>F983*(1+G983)</f>
        <v>281.16000000000003</v>
      </c>
      <c r="I983" s="145" t="s">
        <v>18</v>
      </c>
      <c r="J983" s="37">
        <f>J$276</f>
        <v>0</v>
      </c>
      <c r="K983" s="159">
        <f>J983*H983</f>
        <v>0</v>
      </c>
      <c r="L983" s="160"/>
    </row>
    <row r="984" spans="1:12" s="21" customFormat="1" x14ac:dyDescent="0.2">
      <c r="A984" s="129">
        <f>IF(F984&lt;&gt;"",1+MAX($A$7:A983),"")</f>
        <v>348</v>
      </c>
      <c r="B984" s="140" t="s">
        <v>105</v>
      </c>
      <c r="C984" s="140" t="s">
        <v>104</v>
      </c>
      <c r="D984" s="149"/>
      <c r="E984" s="163" t="s">
        <v>116</v>
      </c>
      <c r="F984" s="149">
        <f>28.4*9</f>
        <v>255.6</v>
      </c>
      <c r="G984" s="124">
        <v>0.1</v>
      </c>
      <c r="H984" s="143">
        <f>F984*(1+G984)</f>
        <v>281.16000000000003</v>
      </c>
      <c r="I984" s="145" t="s">
        <v>18</v>
      </c>
      <c r="J984" s="37">
        <f>J$202</f>
        <v>0</v>
      </c>
      <c r="K984" s="159">
        <f>J984*H984</f>
        <v>0</v>
      </c>
      <c r="L984" s="160"/>
    </row>
    <row r="985" spans="1:12" s="21" customFormat="1" x14ac:dyDescent="0.2">
      <c r="A985" s="129" t="str">
        <f>IF(F985&lt;&gt;"",1+MAX($A$7:A984),"")</f>
        <v/>
      </c>
      <c r="B985" s="140"/>
      <c r="C985" s="140"/>
      <c r="D985" s="141"/>
      <c r="E985" s="163"/>
      <c r="F985" s="149"/>
      <c r="G985" s="124"/>
      <c r="H985" s="143"/>
      <c r="I985" s="145"/>
      <c r="J985" s="37"/>
      <c r="K985" s="159"/>
      <c r="L985" s="160"/>
    </row>
    <row r="986" spans="1:12" s="21" customFormat="1" x14ac:dyDescent="0.2">
      <c r="A986" s="129" t="str">
        <f>IF(F986&lt;&gt;"",1+MAX($A$7:A985),"")</f>
        <v/>
      </c>
      <c r="B986" s="140"/>
      <c r="C986" s="140"/>
      <c r="D986" s="141"/>
      <c r="E986" s="158" t="s">
        <v>135</v>
      </c>
      <c r="F986" s="149"/>
      <c r="G986" s="144"/>
      <c r="H986" s="143"/>
      <c r="I986" s="145"/>
      <c r="J986" s="37"/>
      <c r="K986" s="159"/>
      <c r="L986" s="160"/>
    </row>
    <row r="987" spans="1:12" s="21" customFormat="1" x14ac:dyDescent="0.2">
      <c r="A987" s="129">
        <f>IF(F987&lt;&gt;"",1+MAX($A$7:A986),"")</f>
        <v>349</v>
      </c>
      <c r="B987" s="140" t="s">
        <v>105</v>
      </c>
      <c r="C987" s="140" t="s">
        <v>104</v>
      </c>
      <c r="D987" s="149"/>
      <c r="E987" s="163" t="s">
        <v>100</v>
      </c>
      <c r="F987" s="149">
        <f>10.1*9*2</f>
        <v>181.79999999999998</v>
      </c>
      <c r="G987" s="124">
        <v>0.1</v>
      </c>
      <c r="H987" s="143">
        <f>F987*(1+G987)</f>
        <v>199.98</v>
      </c>
      <c r="I987" s="145" t="s">
        <v>18</v>
      </c>
      <c r="J987" s="37">
        <f>J$143</f>
        <v>0</v>
      </c>
      <c r="K987" s="159">
        <f>J987*H987</f>
        <v>0</v>
      </c>
      <c r="L987" s="160"/>
    </row>
    <row r="988" spans="1:12" s="21" customFormat="1" x14ac:dyDescent="0.2">
      <c r="A988" s="129" t="str">
        <f>IF(F988&lt;&gt;"",1+MAX($A$7:A987),"")</f>
        <v/>
      </c>
      <c r="B988" s="140"/>
      <c r="C988" s="140"/>
      <c r="D988" s="141"/>
      <c r="E988" s="165" t="s">
        <v>41</v>
      </c>
      <c r="F988" s="166"/>
      <c r="G988" s="167"/>
      <c r="H988" s="143">
        <f>ROUNDUP((H987)/32,0)</f>
        <v>7</v>
      </c>
      <c r="I988" s="145" t="s">
        <v>42</v>
      </c>
      <c r="J988" s="37"/>
      <c r="K988" s="159"/>
      <c r="L988" s="160"/>
    </row>
    <row r="989" spans="1:12" s="21" customFormat="1" x14ac:dyDescent="0.2">
      <c r="A989" s="129" t="str">
        <f>IF(F989&lt;&gt;"",1+MAX($A$7:A988),"")</f>
        <v/>
      </c>
      <c r="B989" s="140"/>
      <c r="C989" s="140"/>
      <c r="D989" s="141"/>
      <c r="E989" s="165" t="s">
        <v>43</v>
      </c>
      <c r="F989" s="166"/>
      <c r="G989" s="167"/>
      <c r="H989" s="143">
        <f>ROUNDUP(H988*24/500,0)</f>
        <v>1</v>
      </c>
      <c r="I989" s="145" t="s">
        <v>44</v>
      </c>
      <c r="J989" s="37"/>
      <c r="K989" s="159"/>
      <c r="L989" s="160"/>
    </row>
    <row r="990" spans="1:12" s="21" customFormat="1" x14ac:dyDescent="0.2">
      <c r="A990" s="129" t="str">
        <f>IF(F990&lt;&gt;"",1+MAX($A$7:A989),"")</f>
        <v/>
      </c>
      <c r="B990" s="140"/>
      <c r="C990" s="140"/>
      <c r="D990" s="141"/>
      <c r="E990" s="165" t="s">
        <v>45</v>
      </c>
      <c r="F990" s="166"/>
      <c r="G990" s="167"/>
      <c r="H990" s="168">
        <f>ROUNDUP((H987)/200,0)</f>
        <v>1</v>
      </c>
      <c r="I990" s="145" t="s">
        <v>46</v>
      </c>
      <c r="J990" s="37"/>
      <c r="K990" s="159"/>
      <c r="L990" s="160"/>
    </row>
    <row r="991" spans="1:12" s="21" customFormat="1" x14ac:dyDescent="0.2">
      <c r="A991" s="129" t="str">
        <f>IF(F991&lt;&gt;"",1+MAX($A$7:A990),"")</f>
        <v/>
      </c>
      <c r="B991" s="140"/>
      <c r="C991" s="140"/>
      <c r="D991" s="141"/>
      <c r="E991" s="165" t="s">
        <v>47</v>
      </c>
      <c r="F991" s="166"/>
      <c r="G991" s="167"/>
      <c r="H991" s="168">
        <f>ROUNDUP((H987)*5.25/1000,0)</f>
        <v>2</v>
      </c>
      <c r="I991" s="145" t="s">
        <v>48</v>
      </c>
      <c r="J991" s="37"/>
      <c r="K991" s="159"/>
      <c r="L991" s="160"/>
    </row>
    <row r="992" spans="1:12" s="21" customFormat="1" x14ac:dyDescent="0.2">
      <c r="A992" s="129">
        <f>IF(F992&lt;&gt;"",1+MAX($A$7:A991),"")</f>
        <v>350</v>
      </c>
      <c r="B992" s="140" t="s">
        <v>105</v>
      </c>
      <c r="C992" s="140" t="s">
        <v>104</v>
      </c>
      <c r="D992" s="141"/>
      <c r="E992" s="163" t="s">
        <v>102</v>
      </c>
      <c r="F992" s="149">
        <f>10.1*4</f>
        <v>40.4</v>
      </c>
      <c r="G992" s="124">
        <v>0.1</v>
      </c>
      <c r="H992" s="143">
        <f>F992*(1+G992)</f>
        <v>44.440000000000005</v>
      </c>
      <c r="I992" s="145" t="s">
        <v>15</v>
      </c>
      <c r="J992" s="37">
        <f>J$148</f>
        <v>0</v>
      </c>
      <c r="K992" s="159">
        <f>J992*H992</f>
        <v>0</v>
      </c>
      <c r="L992" s="160"/>
    </row>
    <row r="993" spans="1:12" s="21" customFormat="1" x14ac:dyDescent="0.2">
      <c r="A993" s="129">
        <f>IF(F993&lt;&gt;"",1+MAX($A$7:A992),"")</f>
        <v>351</v>
      </c>
      <c r="B993" s="140" t="s">
        <v>105</v>
      </c>
      <c r="C993" s="140" t="s">
        <v>104</v>
      </c>
      <c r="D993" s="149"/>
      <c r="E993" s="163" t="s">
        <v>349</v>
      </c>
      <c r="F993" s="149">
        <f>10.1*9</f>
        <v>90.899999999999991</v>
      </c>
      <c r="G993" s="124">
        <v>0.1</v>
      </c>
      <c r="H993" s="143">
        <f>F993*(1+G993)</f>
        <v>99.99</v>
      </c>
      <c r="I993" s="145" t="s">
        <v>18</v>
      </c>
      <c r="J993" s="37">
        <f>J$276</f>
        <v>0</v>
      </c>
      <c r="K993" s="159">
        <f>J993*H993</f>
        <v>0</v>
      </c>
      <c r="L993" s="160"/>
    </row>
    <row r="994" spans="1:12" s="21" customFormat="1" x14ac:dyDescent="0.2">
      <c r="A994" s="129">
        <f>IF(F994&lt;&gt;"",1+MAX($A$7:A993),"")</f>
        <v>352</v>
      </c>
      <c r="B994" s="140" t="s">
        <v>105</v>
      </c>
      <c r="C994" s="140" t="s">
        <v>104</v>
      </c>
      <c r="D994" s="149"/>
      <c r="E994" s="163" t="s">
        <v>116</v>
      </c>
      <c r="F994" s="149">
        <f>10.1*9</f>
        <v>90.899999999999991</v>
      </c>
      <c r="G994" s="124">
        <v>0.1</v>
      </c>
      <c r="H994" s="143">
        <f>F994*(1+G994)</f>
        <v>99.99</v>
      </c>
      <c r="I994" s="145" t="s">
        <v>18</v>
      </c>
      <c r="J994" s="37">
        <f>J$202</f>
        <v>0</v>
      </c>
      <c r="K994" s="159">
        <f>J994*H994</f>
        <v>0</v>
      </c>
      <c r="L994" s="160"/>
    </row>
    <row r="995" spans="1:12" s="21" customFormat="1" x14ac:dyDescent="0.2">
      <c r="A995" s="129" t="str">
        <f>IF(F995&lt;&gt;"",1+MAX($A$7:A994),"")</f>
        <v/>
      </c>
      <c r="B995" s="140"/>
      <c r="C995" s="140"/>
      <c r="D995" s="149"/>
      <c r="E995" s="163"/>
      <c r="F995" s="149"/>
      <c r="G995" s="124"/>
      <c r="H995" s="143"/>
      <c r="I995" s="145"/>
      <c r="J995" s="37"/>
      <c r="K995" s="159"/>
      <c r="L995" s="160"/>
    </row>
    <row r="996" spans="1:12" s="21" customFormat="1" x14ac:dyDescent="0.2">
      <c r="A996" s="129" t="str">
        <f>IF(F996&lt;&gt;"",1+MAX($A$7:A995),"")</f>
        <v/>
      </c>
      <c r="B996" s="140"/>
      <c r="C996" s="140"/>
      <c r="D996" s="141"/>
      <c r="E996" s="158" t="s">
        <v>144</v>
      </c>
      <c r="F996" s="149"/>
      <c r="G996" s="144"/>
      <c r="H996" s="143"/>
      <c r="I996" s="145"/>
      <c r="J996" s="37"/>
      <c r="K996" s="159"/>
      <c r="L996" s="160"/>
    </row>
    <row r="997" spans="1:12" s="21" customFormat="1" ht="31.5" x14ac:dyDescent="0.2">
      <c r="A997" s="129">
        <f>IF(F997&lt;&gt;"",1+MAX($A$7:A996),"")</f>
        <v>353</v>
      </c>
      <c r="B997" s="140" t="s">
        <v>105</v>
      </c>
      <c r="C997" s="140" t="s">
        <v>104</v>
      </c>
      <c r="D997" s="149"/>
      <c r="E997" s="163" t="s">
        <v>65</v>
      </c>
      <c r="F997" s="149">
        <f>3.3*9*2*2</f>
        <v>118.8</v>
      </c>
      <c r="G997" s="124">
        <v>0.1</v>
      </c>
      <c r="H997" s="143">
        <f>F997*(1+G997)</f>
        <v>130.68</v>
      </c>
      <c r="I997" s="145" t="s">
        <v>18</v>
      </c>
      <c r="J997" s="37">
        <f>J$143</f>
        <v>0</v>
      </c>
      <c r="K997" s="159">
        <f>J997*H997</f>
        <v>0</v>
      </c>
      <c r="L997" s="160"/>
    </row>
    <row r="998" spans="1:12" s="21" customFormat="1" x14ac:dyDescent="0.2">
      <c r="A998" s="129" t="str">
        <f>IF(F998&lt;&gt;"",1+MAX($A$7:A997),"")</f>
        <v/>
      </c>
      <c r="B998" s="140"/>
      <c r="C998" s="140"/>
      <c r="D998" s="141"/>
      <c r="E998" s="165" t="s">
        <v>41</v>
      </c>
      <c r="F998" s="166"/>
      <c r="G998" s="167"/>
      <c r="H998" s="143">
        <f>ROUNDUP((H997)/32,0)</f>
        <v>5</v>
      </c>
      <c r="I998" s="145" t="s">
        <v>42</v>
      </c>
      <c r="J998" s="37"/>
      <c r="K998" s="159"/>
      <c r="L998" s="160"/>
    </row>
    <row r="999" spans="1:12" s="21" customFormat="1" x14ac:dyDescent="0.2">
      <c r="A999" s="129" t="str">
        <f>IF(F999&lt;&gt;"",1+MAX($A$7:A998),"")</f>
        <v/>
      </c>
      <c r="B999" s="140"/>
      <c r="C999" s="140"/>
      <c r="D999" s="141"/>
      <c r="E999" s="165" t="s">
        <v>43</v>
      </c>
      <c r="F999" s="166"/>
      <c r="G999" s="167"/>
      <c r="H999" s="143">
        <f>ROUNDUP(H998*24/500,0)</f>
        <v>1</v>
      </c>
      <c r="I999" s="145" t="s">
        <v>44</v>
      </c>
      <c r="J999" s="37"/>
      <c r="K999" s="159"/>
      <c r="L999" s="160"/>
    </row>
    <row r="1000" spans="1:12" s="21" customFormat="1" x14ac:dyDescent="0.2">
      <c r="A1000" s="129" t="str">
        <f>IF(F1000&lt;&gt;"",1+MAX($A$7:A999),"")</f>
        <v/>
      </c>
      <c r="B1000" s="140"/>
      <c r="C1000" s="140"/>
      <c r="D1000" s="141"/>
      <c r="E1000" s="165" t="s">
        <v>45</v>
      </c>
      <c r="F1000" s="166"/>
      <c r="G1000" s="167"/>
      <c r="H1000" s="168">
        <f>ROUNDUP((H997)/200,0)</f>
        <v>1</v>
      </c>
      <c r="I1000" s="145" t="s">
        <v>46</v>
      </c>
      <c r="J1000" s="37"/>
      <c r="K1000" s="159"/>
      <c r="L1000" s="160"/>
    </row>
    <row r="1001" spans="1:12" s="21" customFormat="1" x14ac:dyDescent="0.2">
      <c r="A1001" s="129" t="str">
        <f>IF(F1001&lt;&gt;"",1+MAX($A$7:A1000),"")</f>
        <v/>
      </c>
      <c r="B1001" s="140"/>
      <c r="C1001" s="140"/>
      <c r="D1001" s="141"/>
      <c r="E1001" s="165" t="s">
        <v>47</v>
      </c>
      <c r="F1001" s="166"/>
      <c r="G1001" s="167"/>
      <c r="H1001" s="168">
        <f>ROUNDUP((H997)*5.25/1000,0)</f>
        <v>1</v>
      </c>
      <c r="I1001" s="145" t="s">
        <v>48</v>
      </c>
      <c r="J1001" s="37"/>
      <c r="K1001" s="159"/>
      <c r="L1001" s="160"/>
    </row>
    <row r="1002" spans="1:12" s="21" customFormat="1" x14ac:dyDescent="0.2">
      <c r="A1002" s="129">
        <f>IF(F1002&lt;&gt;"",1+MAX($A$7:A1001),"")</f>
        <v>354</v>
      </c>
      <c r="B1002" s="140" t="s">
        <v>105</v>
      </c>
      <c r="C1002" s="140" t="s">
        <v>104</v>
      </c>
      <c r="D1002" s="141"/>
      <c r="E1002" s="163" t="s">
        <v>102</v>
      </c>
      <c r="F1002" s="149">
        <f>3.3*4</f>
        <v>13.2</v>
      </c>
      <c r="G1002" s="124">
        <v>0.1</v>
      </c>
      <c r="H1002" s="143">
        <f>F1002*(1+G1002)</f>
        <v>14.52</v>
      </c>
      <c r="I1002" s="145" t="s">
        <v>15</v>
      </c>
      <c r="J1002" s="37">
        <f>J$148</f>
        <v>0</v>
      </c>
      <c r="K1002" s="159">
        <f>J1002*H1002</f>
        <v>0</v>
      </c>
      <c r="L1002" s="160"/>
    </row>
    <row r="1003" spans="1:12" s="21" customFormat="1" x14ac:dyDescent="0.2">
      <c r="A1003" s="129">
        <f>IF(F1003&lt;&gt;"",1+MAX($A$7:A1002),"")</f>
        <v>355</v>
      </c>
      <c r="B1003" s="140" t="s">
        <v>105</v>
      </c>
      <c r="C1003" s="140" t="s">
        <v>104</v>
      </c>
      <c r="D1003" s="149"/>
      <c r="E1003" s="163" t="s">
        <v>126</v>
      </c>
      <c r="F1003" s="149">
        <f>3.3*9</f>
        <v>29.7</v>
      </c>
      <c r="G1003" s="124">
        <v>0.1</v>
      </c>
      <c r="H1003" s="143">
        <f>F1003*(1+G1003)</f>
        <v>32.67</v>
      </c>
      <c r="I1003" s="145" t="s">
        <v>18</v>
      </c>
      <c r="J1003" s="37">
        <f>J$149</f>
        <v>0</v>
      </c>
      <c r="K1003" s="159">
        <f>J1003*H1003</f>
        <v>0</v>
      </c>
      <c r="L1003" s="160"/>
    </row>
    <row r="1004" spans="1:12" s="21" customFormat="1" x14ac:dyDescent="0.2">
      <c r="A1004" s="129" t="str">
        <f>IF(F1004&lt;&gt;"",1+MAX($A$7:A1003),"")</f>
        <v/>
      </c>
      <c r="B1004" s="140"/>
      <c r="C1004" s="140"/>
      <c r="D1004" s="141"/>
      <c r="E1004" s="165" t="s">
        <v>49</v>
      </c>
      <c r="F1004" s="149"/>
      <c r="G1004" s="124"/>
      <c r="H1004" s="143">
        <f>(3.3/1.167+1)</f>
        <v>3.8277634961439588</v>
      </c>
      <c r="I1004" s="145" t="s">
        <v>20</v>
      </c>
      <c r="J1004" s="37"/>
      <c r="K1004" s="159"/>
      <c r="L1004" s="160"/>
    </row>
    <row r="1005" spans="1:12" s="21" customFormat="1" x14ac:dyDescent="0.2">
      <c r="A1005" s="129">
        <f>IF(F1005&lt;&gt;"",1+MAX($A$7:A1004),"")</f>
        <v>356</v>
      </c>
      <c r="B1005" s="140" t="s">
        <v>105</v>
      </c>
      <c r="C1005" s="140" t="s">
        <v>104</v>
      </c>
      <c r="D1005" s="141"/>
      <c r="E1005" s="163" t="s">
        <v>127</v>
      </c>
      <c r="F1005" s="149">
        <f>3.3*4</f>
        <v>13.2</v>
      </c>
      <c r="G1005" s="124">
        <v>0.1</v>
      </c>
      <c r="H1005" s="143">
        <f>F1005*(1+G1005)</f>
        <v>14.52</v>
      </c>
      <c r="I1005" s="145" t="s">
        <v>15</v>
      </c>
      <c r="J1005" s="37">
        <f>J$151</f>
        <v>0</v>
      </c>
      <c r="K1005" s="159">
        <f>J1005*H1005</f>
        <v>0</v>
      </c>
      <c r="L1005" s="160"/>
    </row>
    <row r="1006" spans="1:12" s="21" customFormat="1" x14ac:dyDescent="0.2">
      <c r="A1006" s="129" t="str">
        <f>IF(F1006&lt;&gt;"",1+MAX($A$7:A1005),"")</f>
        <v/>
      </c>
      <c r="B1006" s="140"/>
      <c r="C1006" s="140"/>
      <c r="D1006" s="141"/>
      <c r="E1006" s="163"/>
      <c r="F1006" s="149"/>
      <c r="G1006" s="124"/>
      <c r="H1006" s="143"/>
      <c r="I1006" s="145"/>
      <c r="J1006" s="37"/>
      <c r="K1006" s="159"/>
      <c r="L1006" s="160"/>
    </row>
    <row r="1007" spans="1:12" s="21" customFormat="1" x14ac:dyDescent="0.2">
      <c r="A1007" s="129" t="str">
        <f>IF(F1007&lt;&gt;"",1+MAX($A$7:A1006),"")</f>
        <v/>
      </c>
      <c r="B1007" s="140"/>
      <c r="C1007" s="140"/>
      <c r="D1007" s="141"/>
      <c r="E1007" s="158" t="s">
        <v>145</v>
      </c>
      <c r="F1007" s="149"/>
      <c r="G1007" s="144"/>
      <c r="H1007" s="143"/>
      <c r="I1007" s="145"/>
      <c r="J1007" s="37"/>
      <c r="K1007" s="159"/>
      <c r="L1007" s="160"/>
    </row>
    <row r="1008" spans="1:12" s="21" customFormat="1" x14ac:dyDescent="0.2">
      <c r="A1008" s="129">
        <f>IF(F1008&lt;&gt;"",1+MAX($A$7:A1007),"")</f>
        <v>357</v>
      </c>
      <c r="B1008" s="140" t="s">
        <v>105</v>
      </c>
      <c r="C1008" s="140" t="s">
        <v>104</v>
      </c>
      <c r="D1008" s="149"/>
      <c r="E1008" s="163" t="s">
        <v>115</v>
      </c>
      <c r="F1008" s="149">
        <f>47.9*9</f>
        <v>431.09999999999997</v>
      </c>
      <c r="G1008" s="124">
        <v>0.1</v>
      </c>
      <c r="H1008" s="143">
        <f>F1008*(1+G1008)</f>
        <v>474.21</v>
      </c>
      <c r="I1008" s="145" t="s">
        <v>18</v>
      </c>
      <c r="J1008" s="37">
        <f>J$143</f>
        <v>0</v>
      </c>
      <c r="K1008" s="159">
        <f>J1008*H1008</f>
        <v>0</v>
      </c>
      <c r="L1008" s="160"/>
    </row>
    <row r="1009" spans="1:12" s="21" customFormat="1" x14ac:dyDescent="0.2">
      <c r="A1009" s="129" t="str">
        <f>IF(F1009&lt;&gt;"",1+MAX($A$7:A1008),"")</f>
        <v/>
      </c>
      <c r="B1009" s="140"/>
      <c r="C1009" s="140"/>
      <c r="D1009" s="141"/>
      <c r="E1009" s="165" t="s">
        <v>41</v>
      </c>
      <c r="F1009" s="166"/>
      <c r="G1009" s="167"/>
      <c r="H1009" s="143">
        <f>ROUNDUP((H1008)/32,0)</f>
        <v>15</v>
      </c>
      <c r="I1009" s="145" t="s">
        <v>42</v>
      </c>
      <c r="J1009" s="37"/>
      <c r="K1009" s="159"/>
      <c r="L1009" s="160"/>
    </row>
    <row r="1010" spans="1:12" s="21" customFormat="1" x14ac:dyDescent="0.2">
      <c r="A1010" s="129" t="str">
        <f>IF(F1010&lt;&gt;"",1+MAX($A$7:A1009),"")</f>
        <v/>
      </c>
      <c r="B1010" s="140"/>
      <c r="C1010" s="140"/>
      <c r="D1010" s="141"/>
      <c r="E1010" s="165" t="s">
        <v>43</v>
      </c>
      <c r="F1010" s="166"/>
      <c r="G1010" s="167"/>
      <c r="H1010" s="143">
        <f>ROUNDUP(H1009*24/500,0)</f>
        <v>1</v>
      </c>
      <c r="I1010" s="145" t="s">
        <v>44</v>
      </c>
      <c r="J1010" s="37"/>
      <c r="K1010" s="159"/>
      <c r="L1010" s="160"/>
    </row>
    <row r="1011" spans="1:12" s="21" customFormat="1" x14ac:dyDescent="0.2">
      <c r="A1011" s="129" t="str">
        <f>IF(F1011&lt;&gt;"",1+MAX($A$7:A1010),"")</f>
        <v/>
      </c>
      <c r="B1011" s="140"/>
      <c r="C1011" s="140"/>
      <c r="D1011" s="141"/>
      <c r="E1011" s="165" t="s">
        <v>45</v>
      </c>
      <c r="F1011" s="166"/>
      <c r="G1011" s="167"/>
      <c r="H1011" s="168">
        <f>ROUNDUP((H1008)/200,0)</f>
        <v>3</v>
      </c>
      <c r="I1011" s="145" t="s">
        <v>46</v>
      </c>
      <c r="J1011" s="37"/>
      <c r="K1011" s="159"/>
      <c r="L1011" s="160"/>
    </row>
    <row r="1012" spans="1:12" s="21" customFormat="1" x14ac:dyDescent="0.2">
      <c r="A1012" s="129" t="str">
        <f>IF(F1012&lt;&gt;"",1+MAX($A$7:A1011),"")</f>
        <v/>
      </c>
      <c r="B1012" s="140"/>
      <c r="C1012" s="140"/>
      <c r="D1012" s="141"/>
      <c r="E1012" s="165" t="s">
        <v>47</v>
      </c>
      <c r="F1012" s="166"/>
      <c r="G1012" s="167"/>
      <c r="H1012" s="168">
        <f>ROUNDUP((H1008)*5.25/1000,0)</f>
        <v>3</v>
      </c>
      <c r="I1012" s="145" t="s">
        <v>48</v>
      </c>
      <c r="J1012" s="37"/>
      <c r="K1012" s="159"/>
      <c r="L1012" s="160"/>
    </row>
    <row r="1013" spans="1:12" s="21" customFormat="1" x14ac:dyDescent="0.2">
      <c r="A1013" s="129">
        <f>IF(F1013&lt;&gt;"",1+MAX($A$7:A1012),"")</f>
        <v>358</v>
      </c>
      <c r="B1013" s="140" t="s">
        <v>105</v>
      </c>
      <c r="C1013" s="140" t="s">
        <v>104</v>
      </c>
      <c r="D1013" s="149"/>
      <c r="E1013" s="163" t="s">
        <v>101</v>
      </c>
      <c r="F1013" s="149">
        <f>148.5*9</f>
        <v>1336.5</v>
      </c>
      <c r="G1013" s="124">
        <v>0.1</v>
      </c>
      <c r="H1013" s="143">
        <f>F1013*(1+G1013)</f>
        <v>1470.15</v>
      </c>
      <c r="I1013" s="145" t="s">
        <v>18</v>
      </c>
      <c r="J1013" s="37">
        <f>J$160</f>
        <v>0</v>
      </c>
      <c r="K1013" s="159">
        <f>J1013*H1013</f>
        <v>0</v>
      </c>
      <c r="L1013" s="160"/>
    </row>
    <row r="1014" spans="1:12" s="21" customFormat="1" x14ac:dyDescent="0.2">
      <c r="A1014" s="129" t="str">
        <f>IF(F1014&lt;&gt;"",1+MAX($A$7:A1013),"")</f>
        <v/>
      </c>
      <c r="B1014" s="140"/>
      <c r="C1014" s="140"/>
      <c r="D1014" s="141"/>
      <c r="E1014" s="165" t="s">
        <v>41</v>
      </c>
      <c r="F1014" s="166"/>
      <c r="G1014" s="167"/>
      <c r="H1014" s="143">
        <f>ROUNDUP((H1013)/32,0)</f>
        <v>46</v>
      </c>
      <c r="I1014" s="145" t="s">
        <v>42</v>
      </c>
      <c r="J1014" s="37"/>
      <c r="K1014" s="159"/>
      <c r="L1014" s="160"/>
    </row>
    <row r="1015" spans="1:12" s="21" customFormat="1" x14ac:dyDescent="0.2">
      <c r="A1015" s="129" t="str">
        <f>IF(F1015&lt;&gt;"",1+MAX($A$7:A1014),"")</f>
        <v/>
      </c>
      <c r="B1015" s="140"/>
      <c r="C1015" s="140"/>
      <c r="D1015" s="141"/>
      <c r="E1015" s="165" t="s">
        <v>43</v>
      </c>
      <c r="F1015" s="166"/>
      <c r="G1015" s="167"/>
      <c r="H1015" s="143">
        <f>ROUNDUP(H1014*24/500,0)</f>
        <v>3</v>
      </c>
      <c r="I1015" s="145" t="s">
        <v>44</v>
      </c>
      <c r="J1015" s="37"/>
      <c r="K1015" s="159"/>
      <c r="L1015" s="160"/>
    </row>
    <row r="1016" spans="1:12" s="21" customFormat="1" x14ac:dyDescent="0.2">
      <c r="A1016" s="129" t="str">
        <f>IF(F1016&lt;&gt;"",1+MAX($A$7:A1015),"")</f>
        <v/>
      </c>
      <c r="B1016" s="140"/>
      <c r="C1016" s="140"/>
      <c r="D1016" s="141"/>
      <c r="E1016" s="165" t="s">
        <v>45</v>
      </c>
      <c r="F1016" s="166"/>
      <c r="G1016" s="167"/>
      <c r="H1016" s="168">
        <f>ROUNDUP((H1013)/200,0)</f>
        <v>8</v>
      </c>
      <c r="I1016" s="145" t="s">
        <v>46</v>
      </c>
      <c r="J1016" s="37"/>
      <c r="K1016" s="159"/>
      <c r="L1016" s="160"/>
    </row>
    <row r="1017" spans="1:12" s="21" customFormat="1" x14ac:dyDescent="0.2">
      <c r="A1017" s="129" t="str">
        <f>IF(F1017&lt;&gt;"",1+MAX($A$7:A1016),"")</f>
        <v/>
      </c>
      <c r="B1017" s="140"/>
      <c r="C1017" s="140"/>
      <c r="D1017" s="141"/>
      <c r="E1017" s="165" t="s">
        <v>47</v>
      </c>
      <c r="F1017" s="166"/>
      <c r="G1017" s="167"/>
      <c r="H1017" s="168">
        <f>ROUNDUP((H1013)*5.25/1000,0)</f>
        <v>8</v>
      </c>
      <c r="I1017" s="145" t="s">
        <v>48</v>
      </c>
      <c r="J1017" s="37"/>
      <c r="K1017" s="159"/>
      <c r="L1017" s="160"/>
    </row>
    <row r="1018" spans="1:12" s="21" customFormat="1" x14ac:dyDescent="0.2">
      <c r="A1018" s="129">
        <f>IF(F1018&lt;&gt;"",1+MAX($A$7:A1017),"")</f>
        <v>359</v>
      </c>
      <c r="B1018" s="140" t="s">
        <v>105</v>
      </c>
      <c r="C1018" s="140" t="s">
        <v>104</v>
      </c>
      <c r="D1018" s="141"/>
      <c r="E1018" s="163" t="s">
        <v>102</v>
      </c>
      <c r="F1018" s="149">
        <f>196.4*2</f>
        <v>392.8</v>
      </c>
      <c r="G1018" s="124">
        <v>0.1</v>
      </c>
      <c r="H1018" s="143">
        <f>F1018*(1+G1018)</f>
        <v>432.08000000000004</v>
      </c>
      <c r="I1018" s="145" t="s">
        <v>15</v>
      </c>
      <c r="J1018" s="37">
        <f>J$148</f>
        <v>0</v>
      </c>
      <c r="K1018" s="159">
        <f>J1018*H1018</f>
        <v>0</v>
      </c>
      <c r="L1018" s="160"/>
    </row>
    <row r="1019" spans="1:12" s="21" customFormat="1" x14ac:dyDescent="0.2">
      <c r="A1019" s="129" t="str">
        <f>IF(F1019&lt;&gt;"",1+MAX($A$7:A1018),"")</f>
        <v/>
      </c>
      <c r="B1019" s="140"/>
      <c r="C1019" s="140"/>
      <c r="D1019" s="141"/>
      <c r="E1019" s="163"/>
      <c r="F1019" s="149"/>
      <c r="G1019" s="124"/>
      <c r="H1019" s="143"/>
      <c r="I1019" s="145"/>
      <c r="J1019" s="37"/>
      <c r="K1019" s="159"/>
      <c r="L1019" s="160"/>
    </row>
    <row r="1020" spans="1:12" s="21" customFormat="1" x14ac:dyDescent="0.2">
      <c r="A1020" s="129" t="str">
        <f>IF(F1020&lt;&gt;"",1+MAX($A$7:A1019),"")</f>
        <v/>
      </c>
      <c r="B1020" s="140"/>
      <c r="C1020" s="140"/>
      <c r="D1020" s="141"/>
      <c r="E1020" s="158" t="s">
        <v>151</v>
      </c>
      <c r="F1020" s="149"/>
      <c r="G1020" s="144"/>
      <c r="H1020" s="143"/>
      <c r="I1020" s="145"/>
      <c r="J1020" s="37"/>
      <c r="K1020" s="159"/>
      <c r="L1020" s="160"/>
    </row>
    <row r="1021" spans="1:12" s="21" customFormat="1" x14ac:dyDescent="0.2">
      <c r="A1021" s="129">
        <f>IF(F1021&lt;&gt;"",1+MAX($A$7:A1020),"")</f>
        <v>360</v>
      </c>
      <c r="B1021" s="140" t="s">
        <v>105</v>
      </c>
      <c r="C1021" s="140" t="s">
        <v>147</v>
      </c>
      <c r="D1021" s="149"/>
      <c r="E1021" s="163" t="s">
        <v>115</v>
      </c>
      <c r="F1021" s="149">
        <f>909.7*9</f>
        <v>8187.3</v>
      </c>
      <c r="G1021" s="124">
        <v>0.1</v>
      </c>
      <c r="H1021" s="143">
        <f>F1021*(1+G1021)</f>
        <v>9006.0300000000007</v>
      </c>
      <c r="I1021" s="145" t="s">
        <v>18</v>
      </c>
      <c r="J1021" s="37">
        <f>J$143</f>
        <v>0</v>
      </c>
      <c r="K1021" s="159">
        <f>J1021*H1021</f>
        <v>0</v>
      </c>
      <c r="L1021" s="160"/>
    </row>
    <row r="1022" spans="1:12" s="21" customFormat="1" x14ac:dyDescent="0.2">
      <c r="A1022" s="129" t="str">
        <f>IF(F1022&lt;&gt;"",1+MAX($A$7:A1021),"")</f>
        <v/>
      </c>
      <c r="B1022" s="140"/>
      <c r="C1022" s="140"/>
      <c r="D1022" s="141"/>
      <c r="E1022" s="165" t="s">
        <v>41</v>
      </c>
      <c r="F1022" s="166"/>
      <c r="G1022" s="167"/>
      <c r="H1022" s="143">
        <f>ROUNDUP((H1021)/32,0)</f>
        <v>282</v>
      </c>
      <c r="I1022" s="145" t="s">
        <v>42</v>
      </c>
      <c r="J1022" s="37"/>
      <c r="K1022" s="159"/>
      <c r="L1022" s="160"/>
    </row>
    <row r="1023" spans="1:12" s="21" customFormat="1" x14ac:dyDescent="0.2">
      <c r="A1023" s="129" t="str">
        <f>IF(F1023&lt;&gt;"",1+MAX($A$7:A1022),"")</f>
        <v/>
      </c>
      <c r="B1023" s="140"/>
      <c r="C1023" s="140"/>
      <c r="D1023" s="141"/>
      <c r="E1023" s="165" t="s">
        <v>43</v>
      </c>
      <c r="F1023" s="166"/>
      <c r="G1023" s="167"/>
      <c r="H1023" s="143">
        <f>ROUNDUP(H1022*24/500,0)</f>
        <v>14</v>
      </c>
      <c r="I1023" s="145" t="s">
        <v>44</v>
      </c>
      <c r="J1023" s="37"/>
      <c r="K1023" s="159"/>
      <c r="L1023" s="160"/>
    </row>
    <row r="1024" spans="1:12" s="21" customFormat="1" x14ac:dyDescent="0.2">
      <c r="A1024" s="129" t="str">
        <f>IF(F1024&lt;&gt;"",1+MAX($A$7:A1023),"")</f>
        <v/>
      </c>
      <c r="B1024" s="140"/>
      <c r="C1024" s="140"/>
      <c r="D1024" s="141"/>
      <c r="E1024" s="165" t="s">
        <v>45</v>
      </c>
      <c r="F1024" s="166"/>
      <c r="G1024" s="167"/>
      <c r="H1024" s="168">
        <f>ROUNDUP((H1021)/200,0)</f>
        <v>46</v>
      </c>
      <c r="I1024" s="145" t="s">
        <v>46</v>
      </c>
      <c r="J1024" s="37"/>
      <c r="K1024" s="159"/>
      <c r="L1024" s="160"/>
    </row>
    <row r="1025" spans="1:12" s="21" customFormat="1" x14ac:dyDescent="0.2">
      <c r="A1025" s="129" t="str">
        <f>IF(F1025&lt;&gt;"",1+MAX($A$7:A1024),"")</f>
        <v/>
      </c>
      <c r="B1025" s="140"/>
      <c r="C1025" s="140"/>
      <c r="D1025" s="141"/>
      <c r="E1025" s="165" t="s">
        <v>47</v>
      </c>
      <c r="F1025" s="166"/>
      <c r="G1025" s="167"/>
      <c r="H1025" s="168">
        <f>ROUNDUP((H1021)*5.25/1000,0)</f>
        <v>48</v>
      </c>
      <c r="I1025" s="145" t="s">
        <v>48</v>
      </c>
      <c r="J1025" s="37"/>
      <c r="K1025" s="159"/>
      <c r="L1025" s="160"/>
    </row>
    <row r="1026" spans="1:12" s="21" customFormat="1" x14ac:dyDescent="0.2">
      <c r="A1026" s="129">
        <f>IF(F1026&lt;&gt;"",1+MAX($A$7:A1025),"")</f>
        <v>361</v>
      </c>
      <c r="B1026" s="140" t="s">
        <v>105</v>
      </c>
      <c r="C1026" s="140" t="s">
        <v>147</v>
      </c>
      <c r="D1026" s="141"/>
      <c r="E1026" s="163" t="s">
        <v>102</v>
      </c>
      <c r="F1026" s="149">
        <f>909.7*2</f>
        <v>1819.4</v>
      </c>
      <c r="G1026" s="124">
        <v>0.1</v>
      </c>
      <c r="H1026" s="143">
        <f>F1026*(1+G1026)</f>
        <v>2001.3400000000004</v>
      </c>
      <c r="I1026" s="145" t="s">
        <v>15</v>
      </c>
      <c r="J1026" s="37">
        <f>J$148</f>
        <v>0</v>
      </c>
      <c r="K1026" s="159">
        <f>J1026*H1026</f>
        <v>0</v>
      </c>
      <c r="L1026" s="160"/>
    </row>
    <row r="1027" spans="1:12" s="21" customFormat="1" x14ac:dyDescent="0.2">
      <c r="A1027" s="129">
        <f>IF(F1027&lt;&gt;"",1+MAX($A$7:A1026),"")</f>
        <v>362</v>
      </c>
      <c r="B1027" s="140" t="s">
        <v>105</v>
      </c>
      <c r="C1027" s="140" t="s">
        <v>147</v>
      </c>
      <c r="D1027" s="149"/>
      <c r="E1027" s="163" t="s">
        <v>349</v>
      </c>
      <c r="F1027" s="149">
        <f>909.7*9</f>
        <v>8187.3</v>
      </c>
      <c r="G1027" s="124">
        <v>0.1</v>
      </c>
      <c r="H1027" s="143">
        <f>F1027*(1+G1027)</f>
        <v>9006.0300000000007</v>
      </c>
      <c r="I1027" s="145" t="s">
        <v>18</v>
      </c>
      <c r="J1027" s="37">
        <f>J$276</f>
        <v>0</v>
      </c>
      <c r="K1027" s="159">
        <f>J1027*H1027</f>
        <v>0</v>
      </c>
      <c r="L1027" s="160"/>
    </row>
    <row r="1028" spans="1:12" s="21" customFormat="1" x14ac:dyDescent="0.2">
      <c r="A1028" s="129">
        <f>IF(F1028&lt;&gt;"",1+MAX($A$7:A1027),"")</f>
        <v>363</v>
      </c>
      <c r="B1028" s="140" t="s">
        <v>105</v>
      </c>
      <c r="C1028" s="140" t="s">
        <v>147</v>
      </c>
      <c r="D1028" s="149"/>
      <c r="E1028" s="163" t="s">
        <v>149</v>
      </c>
      <c r="F1028" s="149">
        <f>909.7*10.25</f>
        <v>9324.4250000000011</v>
      </c>
      <c r="G1028" s="124">
        <v>0.1</v>
      </c>
      <c r="H1028" s="143">
        <f>F1028*(1+G1028)</f>
        <v>10256.867500000002</v>
      </c>
      <c r="I1028" s="145" t="s">
        <v>18</v>
      </c>
      <c r="J1028" s="37">
        <f>J$442</f>
        <v>0</v>
      </c>
      <c r="K1028" s="159">
        <f>J1028*H1028</f>
        <v>0</v>
      </c>
      <c r="L1028" s="160"/>
    </row>
    <row r="1029" spans="1:12" s="21" customFormat="1" x14ac:dyDescent="0.2">
      <c r="A1029" s="129" t="str">
        <f>IF(F1029&lt;&gt;"",1+MAX($A$7:A1028),"")</f>
        <v/>
      </c>
      <c r="B1029" s="140"/>
      <c r="C1029" s="140"/>
      <c r="D1029" s="141"/>
      <c r="E1029" s="163"/>
      <c r="F1029" s="149"/>
      <c r="G1029" s="124"/>
      <c r="H1029" s="143"/>
      <c r="I1029" s="145"/>
      <c r="J1029" s="37"/>
      <c r="K1029" s="159"/>
      <c r="L1029" s="160"/>
    </row>
    <row r="1030" spans="1:12" s="21" customFormat="1" x14ac:dyDescent="0.2">
      <c r="A1030" s="129" t="str">
        <f>IF(F1030&lt;&gt;"",1+MAX($A$7:A1029),"")</f>
        <v/>
      </c>
      <c r="B1030" s="140"/>
      <c r="C1030" s="140"/>
      <c r="D1030" s="141"/>
      <c r="E1030" s="158" t="s">
        <v>152</v>
      </c>
      <c r="F1030" s="149"/>
      <c r="G1030" s="144"/>
      <c r="H1030" s="143"/>
      <c r="I1030" s="145"/>
      <c r="J1030" s="37"/>
      <c r="K1030" s="159"/>
      <c r="L1030" s="160"/>
    </row>
    <row r="1031" spans="1:12" s="21" customFormat="1" x14ac:dyDescent="0.2">
      <c r="A1031" s="129">
        <f>IF(F1031&lt;&gt;"",1+MAX($A$7:A1030),"")</f>
        <v>364</v>
      </c>
      <c r="B1031" s="140" t="s">
        <v>105</v>
      </c>
      <c r="C1031" s="140" t="s">
        <v>147</v>
      </c>
      <c r="D1031" s="149"/>
      <c r="E1031" s="163" t="s">
        <v>133</v>
      </c>
      <c r="F1031" s="149">
        <f>46*9*2</f>
        <v>828</v>
      </c>
      <c r="G1031" s="124">
        <v>0.1</v>
      </c>
      <c r="H1031" s="143">
        <f>F1031*(1+G1031)</f>
        <v>910.80000000000007</v>
      </c>
      <c r="I1031" s="145" t="s">
        <v>18</v>
      </c>
      <c r="J1031" s="37">
        <f>J$143</f>
        <v>0</v>
      </c>
      <c r="K1031" s="159">
        <f>J1031*H1031</f>
        <v>0</v>
      </c>
      <c r="L1031" s="160"/>
    </row>
    <row r="1032" spans="1:12" s="21" customFormat="1" x14ac:dyDescent="0.2">
      <c r="A1032" s="129" t="str">
        <f>IF(F1032&lt;&gt;"",1+MAX($A$7:A1031),"")</f>
        <v/>
      </c>
      <c r="B1032" s="140"/>
      <c r="C1032" s="140"/>
      <c r="D1032" s="141"/>
      <c r="E1032" s="165" t="s">
        <v>41</v>
      </c>
      <c r="F1032" s="166"/>
      <c r="G1032" s="167"/>
      <c r="H1032" s="143">
        <f>ROUNDUP((H1031)/32,0)</f>
        <v>29</v>
      </c>
      <c r="I1032" s="145" t="s">
        <v>42</v>
      </c>
      <c r="J1032" s="37"/>
      <c r="K1032" s="159"/>
      <c r="L1032" s="160"/>
    </row>
    <row r="1033" spans="1:12" s="21" customFormat="1" x14ac:dyDescent="0.2">
      <c r="A1033" s="129" t="str">
        <f>IF(F1033&lt;&gt;"",1+MAX($A$7:A1032),"")</f>
        <v/>
      </c>
      <c r="B1033" s="140"/>
      <c r="C1033" s="140"/>
      <c r="D1033" s="141"/>
      <c r="E1033" s="165" t="s">
        <v>43</v>
      </c>
      <c r="F1033" s="166"/>
      <c r="G1033" s="167"/>
      <c r="H1033" s="143">
        <f>ROUNDUP(H1032*24/500,0)</f>
        <v>2</v>
      </c>
      <c r="I1033" s="145" t="s">
        <v>44</v>
      </c>
      <c r="J1033" s="37"/>
      <c r="K1033" s="159"/>
      <c r="L1033" s="160"/>
    </row>
    <row r="1034" spans="1:12" s="21" customFormat="1" x14ac:dyDescent="0.2">
      <c r="A1034" s="129" t="str">
        <f>IF(F1034&lt;&gt;"",1+MAX($A$7:A1033),"")</f>
        <v/>
      </c>
      <c r="B1034" s="140"/>
      <c r="C1034" s="140"/>
      <c r="D1034" s="141"/>
      <c r="E1034" s="165" t="s">
        <v>45</v>
      </c>
      <c r="F1034" s="166"/>
      <c r="G1034" s="167"/>
      <c r="H1034" s="168">
        <f>ROUNDUP((H1031)/200,0)</f>
        <v>5</v>
      </c>
      <c r="I1034" s="145" t="s">
        <v>46</v>
      </c>
      <c r="J1034" s="37"/>
      <c r="K1034" s="159"/>
      <c r="L1034" s="160"/>
    </row>
    <row r="1035" spans="1:12" s="21" customFormat="1" x14ac:dyDescent="0.2">
      <c r="A1035" s="129" t="str">
        <f>IF(F1035&lt;&gt;"",1+MAX($A$7:A1034),"")</f>
        <v/>
      </c>
      <c r="B1035" s="140"/>
      <c r="C1035" s="140"/>
      <c r="D1035" s="141"/>
      <c r="E1035" s="165" t="s">
        <v>47</v>
      </c>
      <c r="F1035" s="166"/>
      <c r="G1035" s="167"/>
      <c r="H1035" s="168">
        <f>ROUNDUP((H1031)*5.25/1000,0)</f>
        <v>5</v>
      </c>
      <c r="I1035" s="145" t="s">
        <v>48</v>
      </c>
      <c r="J1035" s="37"/>
      <c r="K1035" s="159"/>
      <c r="L1035" s="160"/>
    </row>
    <row r="1036" spans="1:12" s="21" customFormat="1" x14ac:dyDescent="0.2">
      <c r="A1036" s="129">
        <f>IF(F1036&lt;&gt;"",1+MAX($A$7:A1035),"")</f>
        <v>365</v>
      </c>
      <c r="B1036" s="140" t="s">
        <v>105</v>
      </c>
      <c r="C1036" s="140" t="s">
        <v>147</v>
      </c>
      <c r="D1036" s="141"/>
      <c r="E1036" s="163" t="s">
        <v>102</v>
      </c>
      <c r="F1036" s="149">
        <f>46*2</f>
        <v>92</v>
      </c>
      <c r="G1036" s="124">
        <v>0.1</v>
      </c>
      <c r="H1036" s="143">
        <f>F1036*(1+G1036)</f>
        <v>101.2</v>
      </c>
      <c r="I1036" s="145" t="s">
        <v>15</v>
      </c>
      <c r="J1036" s="37">
        <f>J$148</f>
        <v>0</v>
      </c>
      <c r="K1036" s="159">
        <f>J1036*H1036</f>
        <v>0</v>
      </c>
      <c r="L1036" s="160"/>
    </row>
    <row r="1037" spans="1:12" s="21" customFormat="1" x14ac:dyDescent="0.2">
      <c r="A1037" s="129">
        <f>IF(F1037&lt;&gt;"",1+MAX($A$7:A1036),"")</f>
        <v>366</v>
      </c>
      <c r="B1037" s="140" t="s">
        <v>105</v>
      </c>
      <c r="C1037" s="140" t="s">
        <v>147</v>
      </c>
      <c r="D1037" s="149"/>
      <c r="E1037" s="163" t="s">
        <v>349</v>
      </c>
      <c r="F1037" s="149">
        <f>46*9</f>
        <v>414</v>
      </c>
      <c r="G1037" s="124">
        <v>0.1</v>
      </c>
      <c r="H1037" s="143">
        <f>F1037*(1+G1037)</f>
        <v>455.40000000000003</v>
      </c>
      <c r="I1037" s="145" t="s">
        <v>18</v>
      </c>
      <c r="J1037" s="37">
        <f>J$276</f>
        <v>0</v>
      </c>
      <c r="K1037" s="159">
        <f>J1037*H1037</f>
        <v>0</v>
      </c>
      <c r="L1037" s="160"/>
    </row>
    <row r="1038" spans="1:12" s="21" customFormat="1" x14ac:dyDescent="0.2">
      <c r="A1038" s="129">
        <f>IF(F1038&lt;&gt;"",1+MAX($A$7:A1037),"")</f>
        <v>367</v>
      </c>
      <c r="B1038" s="140" t="s">
        <v>105</v>
      </c>
      <c r="C1038" s="140" t="s">
        <v>147</v>
      </c>
      <c r="D1038" s="149"/>
      <c r="E1038" s="163" t="s">
        <v>149</v>
      </c>
      <c r="F1038" s="149">
        <f>46*11</f>
        <v>506</v>
      </c>
      <c r="G1038" s="124">
        <v>0.1</v>
      </c>
      <c r="H1038" s="143">
        <f>F1038*(1+G1038)</f>
        <v>556.6</v>
      </c>
      <c r="I1038" s="145" t="s">
        <v>18</v>
      </c>
      <c r="J1038" s="37">
        <f>J$442</f>
        <v>0</v>
      </c>
      <c r="K1038" s="159">
        <f>J1038*H1038</f>
        <v>0</v>
      </c>
      <c r="L1038" s="160"/>
    </row>
    <row r="1039" spans="1:12" s="21" customFormat="1" x14ac:dyDescent="0.2">
      <c r="A1039" s="129" t="str">
        <f>IF(F1039&lt;&gt;"",1+MAX($A$7:A1038),"")</f>
        <v/>
      </c>
      <c r="B1039" s="140"/>
      <c r="C1039" s="140"/>
      <c r="D1039" s="141"/>
      <c r="E1039" s="163"/>
      <c r="F1039" s="149"/>
      <c r="G1039" s="124"/>
      <c r="H1039" s="143"/>
      <c r="I1039" s="145"/>
      <c r="J1039" s="37"/>
      <c r="K1039" s="159"/>
      <c r="L1039" s="160"/>
    </row>
    <row r="1040" spans="1:12" s="21" customFormat="1" x14ac:dyDescent="0.2">
      <c r="A1040" s="129" t="str">
        <f>IF(F1040&lt;&gt;"",1+MAX($A$7:A1039),"")</f>
        <v/>
      </c>
      <c r="B1040" s="140"/>
      <c r="C1040" s="140"/>
      <c r="D1040" s="141"/>
      <c r="E1040" s="158" t="s">
        <v>199</v>
      </c>
      <c r="F1040" s="149"/>
      <c r="G1040" s="144"/>
      <c r="H1040" s="143"/>
      <c r="I1040" s="145"/>
      <c r="J1040" s="37"/>
      <c r="K1040" s="159"/>
      <c r="L1040" s="160"/>
    </row>
    <row r="1041" spans="1:12" s="21" customFormat="1" x14ac:dyDescent="0.2">
      <c r="A1041" s="129">
        <f>IF(F1041&lt;&gt;"",1+MAX($A$7:A1040),"")</f>
        <v>368</v>
      </c>
      <c r="B1041" s="140" t="s">
        <v>105</v>
      </c>
      <c r="C1041" s="140" t="s">
        <v>202</v>
      </c>
      <c r="D1041" s="149"/>
      <c r="E1041" s="163" t="s">
        <v>149</v>
      </c>
      <c r="F1041" s="149">
        <f>(176.7*3.67+10.3*2.83)*2</f>
        <v>1355.2759999999998</v>
      </c>
      <c r="G1041" s="124">
        <v>0.1</v>
      </c>
      <c r="H1041" s="143">
        <f>F1041*(1+G1041)</f>
        <v>1490.8036</v>
      </c>
      <c r="I1041" s="145" t="s">
        <v>18</v>
      </c>
      <c r="J1041" s="37">
        <f>J$442</f>
        <v>0</v>
      </c>
      <c r="K1041" s="159">
        <f>J1041*H1041</f>
        <v>0</v>
      </c>
      <c r="L1041" s="160"/>
    </row>
    <row r="1042" spans="1:12" s="21" customFormat="1" x14ac:dyDescent="0.2">
      <c r="A1042" s="129">
        <f>IF(F1042&lt;&gt;"",1+MAX($A$7:A1041),"")</f>
        <v>369</v>
      </c>
      <c r="B1042" s="140" t="s">
        <v>105</v>
      </c>
      <c r="C1042" s="140" t="s">
        <v>202</v>
      </c>
      <c r="D1042" s="149"/>
      <c r="E1042" s="163" t="s">
        <v>349</v>
      </c>
      <c r="F1042" s="149">
        <f>176.7*3.67+10.3*2.83</f>
        <v>677.63799999999992</v>
      </c>
      <c r="G1042" s="124">
        <v>0.1</v>
      </c>
      <c r="H1042" s="143">
        <f>F1042*(1+G1042)</f>
        <v>745.40179999999998</v>
      </c>
      <c r="I1042" s="145" t="s">
        <v>18</v>
      </c>
      <c r="J1042" s="37">
        <f>J$276</f>
        <v>0</v>
      </c>
      <c r="K1042" s="159">
        <f>J1042*H1042</f>
        <v>0</v>
      </c>
      <c r="L1042" s="160"/>
    </row>
    <row r="1043" spans="1:12" s="21" customFormat="1" x14ac:dyDescent="0.2">
      <c r="A1043" s="129" t="str">
        <f>IF(F1043&lt;&gt;"",1+MAX($A$7:A1042),"")</f>
        <v/>
      </c>
      <c r="B1043" s="140"/>
      <c r="C1043" s="140"/>
      <c r="D1043" s="141"/>
      <c r="E1043" s="163"/>
      <c r="F1043" s="149"/>
      <c r="G1043" s="124"/>
      <c r="H1043" s="143"/>
      <c r="I1043" s="145"/>
      <c r="J1043" s="37"/>
      <c r="K1043" s="159"/>
      <c r="L1043" s="160"/>
    </row>
    <row r="1044" spans="1:12" s="21" customFormat="1" x14ac:dyDescent="0.2">
      <c r="A1044" s="129" t="str">
        <f>IF(F1044&lt;&gt;"",1+MAX($A$7:A1043),"")</f>
        <v/>
      </c>
      <c r="B1044" s="140"/>
      <c r="C1044" s="140"/>
      <c r="D1044" s="141"/>
      <c r="E1044" s="164" t="s">
        <v>203</v>
      </c>
      <c r="F1044" s="149"/>
      <c r="G1044" s="144"/>
      <c r="H1044" s="143"/>
      <c r="I1044" s="145"/>
      <c r="J1044" s="37"/>
      <c r="K1044" s="159"/>
      <c r="L1044" s="160"/>
    </row>
    <row r="1045" spans="1:12" s="21" customFormat="1" x14ac:dyDescent="0.2">
      <c r="A1045" s="129" t="str">
        <f>IF(F1045&lt;&gt;"",1+MAX($A$7:A1044),"")</f>
        <v/>
      </c>
      <c r="B1045" s="140"/>
      <c r="C1045" s="140"/>
      <c r="D1045" s="141"/>
      <c r="E1045" s="158" t="s">
        <v>103</v>
      </c>
      <c r="F1045" s="149"/>
      <c r="G1045" s="144"/>
      <c r="H1045" s="143"/>
      <c r="I1045" s="145"/>
      <c r="J1045" s="37"/>
      <c r="K1045" s="159"/>
      <c r="L1045" s="160"/>
    </row>
    <row r="1046" spans="1:12" s="21" customFormat="1" x14ac:dyDescent="0.2">
      <c r="A1046" s="129">
        <f>IF(F1046&lt;&gt;"",1+MAX($A$7:A1045),"")</f>
        <v>370</v>
      </c>
      <c r="B1046" s="140" t="s">
        <v>105</v>
      </c>
      <c r="C1046" s="140" t="s">
        <v>104</v>
      </c>
      <c r="D1046" s="149"/>
      <c r="E1046" s="163" t="s">
        <v>100</v>
      </c>
      <c r="F1046" s="149">
        <f>62.7*9*2+10*9</f>
        <v>1218.6000000000001</v>
      </c>
      <c r="G1046" s="124">
        <v>0.1</v>
      </c>
      <c r="H1046" s="143">
        <f>F1046*(1+G1046)</f>
        <v>1340.4600000000003</v>
      </c>
      <c r="I1046" s="145" t="s">
        <v>18</v>
      </c>
      <c r="J1046" s="37">
        <f>J$143</f>
        <v>0</v>
      </c>
      <c r="K1046" s="159">
        <f>J1046*H1046</f>
        <v>0</v>
      </c>
      <c r="L1046" s="160"/>
    </row>
    <row r="1047" spans="1:12" s="21" customFormat="1" x14ac:dyDescent="0.2">
      <c r="A1047" s="129" t="str">
        <f>IF(F1047&lt;&gt;"",1+MAX($A$7:A1046),"")</f>
        <v/>
      </c>
      <c r="B1047" s="140"/>
      <c r="C1047" s="140"/>
      <c r="D1047" s="141"/>
      <c r="E1047" s="165" t="s">
        <v>41</v>
      </c>
      <c r="F1047" s="166"/>
      <c r="G1047" s="167"/>
      <c r="H1047" s="143">
        <f>ROUNDUP((H1046)/32,0)</f>
        <v>42</v>
      </c>
      <c r="I1047" s="145" t="s">
        <v>42</v>
      </c>
      <c r="J1047" s="37"/>
      <c r="K1047" s="159"/>
      <c r="L1047" s="160"/>
    </row>
    <row r="1048" spans="1:12" s="21" customFormat="1" x14ac:dyDescent="0.2">
      <c r="A1048" s="129" t="str">
        <f>IF(F1048&lt;&gt;"",1+MAX($A$7:A1047),"")</f>
        <v/>
      </c>
      <c r="B1048" s="140"/>
      <c r="C1048" s="140"/>
      <c r="D1048" s="141"/>
      <c r="E1048" s="165" t="s">
        <v>43</v>
      </c>
      <c r="F1048" s="166"/>
      <c r="G1048" s="167"/>
      <c r="H1048" s="143">
        <f>ROUNDUP(H1047*24/500,0)</f>
        <v>3</v>
      </c>
      <c r="I1048" s="145" t="s">
        <v>44</v>
      </c>
      <c r="J1048" s="37"/>
      <c r="K1048" s="159"/>
      <c r="L1048" s="160"/>
    </row>
    <row r="1049" spans="1:12" s="21" customFormat="1" x14ac:dyDescent="0.2">
      <c r="A1049" s="129" t="str">
        <f>IF(F1049&lt;&gt;"",1+MAX($A$7:A1048),"")</f>
        <v/>
      </c>
      <c r="B1049" s="140"/>
      <c r="C1049" s="140"/>
      <c r="D1049" s="141"/>
      <c r="E1049" s="165" t="s">
        <v>45</v>
      </c>
      <c r="F1049" s="166"/>
      <c r="G1049" s="167"/>
      <c r="H1049" s="168">
        <f>ROUNDUP((H1046)/200,0)</f>
        <v>7</v>
      </c>
      <c r="I1049" s="145" t="s">
        <v>46</v>
      </c>
      <c r="J1049" s="37"/>
      <c r="K1049" s="159"/>
      <c r="L1049" s="160"/>
    </row>
    <row r="1050" spans="1:12" s="21" customFormat="1" x14ac:dyDescent="0.2">
      <c r="A1050" s="129" t="str">
        <f>IF(F1050&lt;&gt;"",1+MAX($A$7:A1049),"")</f>
        <v/>
      </c>
      <c r="B1050" s="140"/>
      <c r="C1050" s="140"/>
      <c r="D1050" s="141"/>
      <c r="E1050" s="165" t="s">
        <v>47</v>
      </c>
      <c r="F1050" s="166"/>
      <c r="G1050" s="167"/>
      <c r="H1050" s="168">
        <f>ROUNDUP((H1046)*5.25/1000,0)</f>
        <v>8</v>
      </c>
      <c r="I1050" s="145" t="s">
        <v>48</v>
      </c>
      <c r="J1050" s="37"/>
      <c r="K1050" s="159"/>
      <c r="L1050" s="160"/>
    </row>
    <row r="1051" spans="1:12" s="21" customFormat="1" x14ac:dyDescent="0.2">
      <c r="A1051" s="129">
        <f>IF(F1051&lt;&gt;"",1+MAX($A$7:A1050),"")</f>
        <v>371</v>
      </c>
      <c r="B1051" s="140" t="s">
        <v>105</v>
      </c>
      <c r="C1051" s="140" t="s">
        <v>104</v>
      </c>
      <c r="D1051" s="149"/>
      <c r="E1051" s="163" t="s">
        <v>101</v>
      </c>
      <c r="F1051" s="149">
        <f>31.8*9*2+10*9</f>
        <v>662.4</v>
      </c>
      <c r="G1051" s="124">
        <v>0.1</v>
      </c>
      <c r="H1051" s="143">
        <f>F1051*(1+G1051)</f>
        <v>728.64</v>
      </c>
      <c r="I1051" s="145" t="s">
        <v>18</v>
      </c>
      <c r="J1051" s="37">
        <f>J$160</f>
        <v>0</v>
      </c>
      <c r="K1051" s="159">
        <f>J1051*H1051</f>
        <v>0</v>
      </c>
      <c r="L1051" s="160"/>
    </row>
    <row r="1052" spans="1:12" s="21" customFormat="1" x14ac:dyDescent="0.2">
      <c r="A1052" s="129" t="str">
        <f>IF(F1052&lt;&gt;"",1+MAX($A$7:A1051),"")</f>
        <v/>
      </c>
      <c r="B1052" s="140"/>
      <c r="C1052" s="140"/>
      <c r="D1052" s="141"/>
      <c r="E1052" s="165" t="s">
        <v>41</v>
      </c>
      <c r="F1052" s="166"/>
      <c r="G1052" s="167"/>
      <c r="H1052" s="143">
        <f>ROUNDUP((H1051)/32,0)</f>
        <v>23</v>
      </c>
      <c r="I1052" s="145" t="s">
        <v>42</v>
      </c>
      <c r="J1052" s="37"/>
      <c r="K1052" s="159"/>
      <c r="L1052" s="160"/>
    </row>
    <row r="1053" spans="1:12" s="21" customFormat="1" x14ac:dyDescent="0.2">
      <c r="A1053" s="129" t="str">
        <f>IF(F1053&lt;&gt;"",1+MAX($A$7:A1052),"")</f>
        <v/>
      </c>
      <c r="B1053" s="140"/>
      <c r="C1053" s="140"/>
      <c r="D1053" s="141"/>
      <c r="E1053" s="165" t="s">
        <v>43</v>
      </c>
      <c r="F1053" s="166"/>
      <c r="G1053" s="167"/>
      <c r="H1053" s="143">
        <f>ROUNDUP(H1052*24/500,0)</f>
        <v>2</v>
      </c>
      <c r="I1053" s="145" t="s">
        <v>44</v>
      </c>
      <c r="J1053" s="37"/>
      <c r="K1053" s="159"/>
      <c r="L1053" s="160"/>
    </row>
    <row r="1054" spans="1:12" s="21" customFormat="1" x14ac:dyDescent="0.2">
      <c r="A1054" s="129" t="str">
        <f>IF(F1054&lt;&gt;"",1+MAX($A$7:A1053),"")</f>
        <v/>
      </c>
      <c r="B1054" s="140"/>
      <c r="C1054" s="140"/>
      <c r="D1054" s="141"/>
      <c r="E1054" s="165" t="s">
        <v>45</v>
      </c>
      <c r="F1054" s="166"/>
      <c r="G1054" s="167"/>
      <c r="H1054" s="168">
        <f>ROUNDUP((H1051)/200,0)</f>
        <v>4</v>
      </c>
      <c r="I1054" s="145" t="s">
        <v>46</v>
      </c>
      <c r="J1054" s="37"/>
      <c r="K1054" s="159"/>
      <c r="L1054" s="160"/>
    </row>
    <row r="1055" spans="1:12" s="21" customFormat="1" x14ac:dyDescent="0.2">
      <c r="A1055" s="129" t="str">
        <f>IF(F1055&lt;&gt;"",1+MAX($A$7:A1054),"")</f>
        <v/>
      </c>
      <c r="B1055" s="140"/>
      <c r="C1055" s="140"/>
      <c r="D1055" s="141"/>
      <c r="E1055" s="165" t="s">
        <v>47</v>
      </c>
      <c r="F1055" s="166"/>
      <c r="G1055" s="167"/>
      <c r="H1055" s="168">
        <f>ROUNDUP((H1051)*5.25/1000,0)</f>
        <v>4</v>
      </c>
      <c r="I1055" s="145" t="s">
        <v>48</v>
      </c>
      <c r="J1055" s="37"/>
      <c r="K1055" s="159"/>
      <c r="L1055" s="160"/>
    </row>
    <row r="1056" spans="1:12" s="21" customFormat="1" x14ac:dyDescent="0.2">
      <c r="A1056" s="129">
        <f>IF(F1056&lt;&gt;"",1+MAX($A$7:A1055),"")</f>
        <v>372</v>
      </c>
      <c r="B1056" s="140" t="s">
        <v>105</v>
      </c>
      <c r="C1056" s="140" t="s">
        <v>104</v>
      </c>
      <c r="D1056" s="141"/>
      <c r="E1056" s="163" t="s">
        <v>102</v>
      </c>
      <c r="F1056" s="149">
        <f>104.5*4</f>
        <v>418</v>
      </c>
      <c r="G1056" s="124">
        <v>0.1</v>
      </c>
      <c r="H1056" s="143">
        <f>F1056*(1+G1056)</f>
        <v>459.8</v>
      </c>
      <c r="I1056" s="145" t="s">
        <v>15</v>
      </c>
      <c r="J1056" s="37">
        <f>J$148</f>
        <v>0</v>
      </c>
      <c r="K1056" s="159">
        <f>J1056*H1056</f>
        <v>0</v>
      </c>
      <c r="L1056" s="160"/>
    </row>
    <row r="1057" spans="1:12" s="21" customFormat="1" x14ac:dyDescent="0.2">
      <c r="A1057" s="129" t="str">
        <f>IF(F1057&lt;&gt;"",1+MAX($A$7:A1056),"")</f>
        <v/>
      </c>
      <c r="B1057" s="140"/>
      <c r="C1057" s="140"/>
      <c r="D1057" s="141"/>
      <c r="E1057" s="163"/>
      <c r="F1057" s="149"/>
      <c r="G1057" s="124"/>
      <c r="H1057" s="143"/>
      <c r="I1057" s="145"/>
      <c r="J1057" s="37"/>
      <c r="K1057" s="159"/>
      <c r="L1057" s="160"/>
    </row>
    <row r="1058" spans="1:12" s="21" customFormat="1" x14ac:dyDescent="0.2">
      <c r="A1058" s="129" t="str">
        <f>IF(F1058&lt;&gt;"",1+MAX($A$7:A1057),"")</f>
        <v/>
      </c>
      <c r="B1058" s="140"/>
      <c r="C1058" s="140"/>
      <c r="D1058" s="141"/>
      <c r="E1058" s="158" t="s">
        <v>106</v>
      </c>
      <c r="F1058" s="149"/>
      <c r="G1058" s="144"/>
      <c r="H1058" s="143"/>
      <c r="I1058" s="145"/>
      <c r="J1058" s="37"/>
      <c r="K1058" s="159"/>
      <c r="L1058" s="160"/>
    </row>
    <row r="1059" spans="1:12" s="21" customFormat="1" x14ac:dyDescent="0.2">
      <c r="A1059" s="129">
        <f>IF(F1059&lt;&gt;"",1+MAX($A$7:A1058),"")</f>
        <v>373</v>
      </c>
      <c r="B1059" s="140" t="s">
        <v>105</v>
      </c>
      <c r="C1059" s="140" t="s">
        <v>104</v>
      </c>
      <c r="D1059" s="149"/>
      <c r="E1059" s="163" t="s">
        <v>100</v>
      </c>
      <c r="F1059" s="149">
        <f>967.1*9*2+236.5*9+21.8*3.5*2</f>
        <v>19688.899999999998</v>
      </c>
      <c r="G1059" s="124">
        <v>0.1</v>
      </c>
      <c r="H1059" s="143">
        <f>F1059*(1+G1059)</f>
        <v>21657.79</v>
      </c>
      <c r="I1059" s="145" t="s">
        <v>18</v>
      </c>
      <c r="J1059" s="37">
        <f>J$143</f>
        <v>0</v>
      </c>
      <c r="K1059" s="159">
        <f>J1059*H1059</f>
        <v>0</v>
      </c>
      <c r="L1059" s="160"/>
    </row>
    <row r="1060" spans="1:12" s="21" customFormat="1" x14ac:dyDescent="0.2">
      <c r="A1060" s="129" t="str">
        <f>IF(F1060&lt;&gt;"",1+MAX($A$7:A1059),"")</f>
        <v/>
      </c>
      <c r="B1060" s="140"/>
      <c r="C1060" s="140"/>
      <c r="D1060" s="141"/>
      <c r="E1060" s="165" t="s">
        <v>41</v>
      </c>
      <c r="F1060" s="166"/>
      <c r="G1060" s="167"/>
      <c r="H1060" s="143">
        <f>ROUNDUP((H1059)/32,0)</f>
        <v>677</v>
      </c>
      <c r="I1060" s="145" t="s">
        <v>42</v>
      </c>
      <c r="J1060" s="37"/>
      <c r="K1060" s="159"/>
      <c r="L1060" s="160"/>
    </row>
    <row r="1061" spans="1:12" s="21" customFormat="1" x14ac:dyDescent="0.2">
      <c r="A1061" s="129" t="str">
        <f>IF(F1061&lt;&gt;"",1+MAX($A$7:A1060),"")</f>
        <v/>
      </c>
      <c r="B1061" s="140"/>
      <c r="C1061" s="140"/>
      <c r="D1061" s="141"/>
      <c r="E1061" s="165" t="s">
        <v>43</v>
      </c>
      <c r="F1061" s="166"/>
      <c r="G1061" s="167"/>
      <c r="H1061" s="143">
        <f>ROUNDUP(H1060*24/500,0)</f>
        <v>33</v>
      </c>
      <c r="I1061" s="145" t="s">
        <v>44</v>
      </c>
      <c r="J1061" s="37"/>
      <c r="K1061" s="159"/>
      <c r="L1061" s="160"/>
    </row>
    <row r="1062" spans="1:12" s="21" customFormat="1" x14ac:dyDescent="0.2">
      <c r="A1062" s="129" t="str">
        <f>IF(F1062&lt;&gt;"",1+MAX($A$7:A1061),"")</f>
        <v/>
      </c>
      <c r="B1062" s="140"/>
      <c r="C1062" s="140"/>
      <c r="D1062" s="141"/>
      <c r="E1062" s="165" t="s">
        <v>45</v>
      </c>
      <c r="F1062" s="166"/>
      <c r="G1062" s="167"/>
      <c r="H1062" s="168">
        <f>ROUNDUP((H1059)/200,0)</f>
        <v>109</v>
      </c>
      <c r="I1062" s="145" t="s">
        <v>46</v>
      </c>
      <c r="J1062" s="37"/>
      <c r="K1062" s="159"/>
      <c r="L1062" s="160"/>
    </row>
    <row r="1063" spans="1:12" s="21" customFormat="1" x14ac:dyDescent="0.2">
      <c r="A1063" s="129" t="str">
        <f>IF(F1063&lt;&gt;"",1+MAX($A$7:A1062),"")</f>
        <v/>
      </c>
      <c r="B1063" s="140"/>
      <c r="C1063" s="140"/>
      <c r="D1063" s="141"/>
      <c r="E1063" s="165" t="s">
        <v>47</v>
      </c>
      <c r="F1063" s="166"/>
      <c r="G1063" s="167"/>
      <c r="H1063" s="168">
        <f>ROUNDUP((H1059)*5.25/1000,0)</f>
        <v>114</v>
      </c>
      <c r="I1063" s="145" t="s">
        <v>48</v>
      </c>
      <c r="J1063" s="37"/>
      <c r="K1063" s="159"/>
      <c r="L1063" s="160"/>
    </row>
    <row r="1064" spans="1:12" s="21" customFormat="1" x14ac:dyDescent="0.2">
      <c r="A1064" s="129">
        <f>IF(F1064&lt;&gt;"",1+MAX($A$7:A1063),"")</f>
        <v>374</v>
      </c>
      <c r="B1064" s="140" t="s">
        <v>105</v>
      </c>
      <c r="C1064" s="140" t="s">
        <v>104</v>
      </c>
      <c r="D1064" s="149"/>
      <c r="E1064" s="163" t="s">
        <v>101</v>
      </c>
      <c r="F1064" s="149">
        <f>236.6*9</f>
        <v>2129.4</v>
      </c>
      <c r="G1064" s="124">
        <v>0.1</v>
      </c>
      <c r="H1064" s="143">
        <f>F1064*(1+G1064)</f>
        <v>2342.34</v>
      </c>
      <c r="I1064" s="145" t="s">
        <v>18</v>
      </c>
      <c r="J1064" s="37">
        <f>J$160</f>
        <v>0</v>
      </c>
      <c r="K1064" s="159">
        <f>J1064*H1064</f>
        <v>0</v>
      </c>
      <c r="L1064" s="160"/>
    </row>
    <row r="1065" spans="1:12" s="21" customFormat="1" x14ac:dyDescent="0.2">
      <c r="A1065" s="129" t="str">
        <f>IF(F1065&lt;&gt;"",1+MAX($A$7:A1064),"")</f>
        <v/>
      </c>
      <c r="B1065" s="140"/>
      <c r="C1065" s="140"/>
      <c r="D1065" s="141"/>
      <c r="E1065" s="165" t="s">
        <v>41</v>
      </c>
      <c r="F1065" s="166"/>
      <c r="G1065" s="167"/>
      <c r="H1065" s="143">
        <f>ROUNDUP((H1064)/32,0)</f>
        <v>74</v>
      </c>
      <c r="I1065" s="145" t="s">
        <v>42</v>
      </c>
      <c r="J1065" s="37"/>
      <c r="K1065" s="159"/>
      <c r="L1065" s="160"/>
    </row>
    <row r="1066" spans="1:12" s="21" customFormat="1" x14ac:dyDescent="0.2">
      <c r="A1066" s="129" t="str">
        <f>IF(F1066&lt;&gt;"",1+MAX($A$7:A1065),"")</f>
        <v/>
      </c>
      <c r="B1066" s="140"/>
      <c r="C1066" s="140"/>
      <c r="D1066" s="141"/>
      <c r="E1066" s="165" t="s">
        <v>43</v>
      </c>
      <c r="F1066" s="166"/>
      <c r="G1066" s="167"/>
      <c r="H1066" s="143">
        <f>ROUNDUP(H1065*24/500,0)</f>
        <v>4</v>
      </c>
      <c r="I1066" s="145" t="s">
        <v>44</v>
      </c>
      <c r="J1066" s="37"/>
      <c r="K1066" s="159"/>
      <c r="L1066" s="160"/>
    </row>
    <row r="1067" spans="1:12" s="21" customFormat="1" x14ac:dyDescent="0.2">
      <c r="A1067" s="129" t="str">
        <f>IF(F1067&lt;&gt;"",1+MAX($A$7:A1066),"")</f>
        <v/>
      </c>
      <c r="B1067" s="140"/>
      <c r="C1067" s="140"/>
      <c r="D1067" s="141"/>
      <c r="E1067" s="165" t="s">
        <v>45</v>
      </c>
      <c r="F1067" s="166"/>
      <c r="G1067" s="167"/>
      <c r="H1067" s="168">
        <f>ROUNDUP((H1064)/200,0)</f>
        <v>12</v>
      </c>
      <c r="I1067" s="145" t="s">
        <v>46</v>
      </c>
      <c r="J1067" s="37"/>
      <c r="K1067" s="159"/>
      <c r="L1067" s="160"/>
    </row>
    <row r="1068" spans="1:12" s="21" customFormat="1" x14ac:dyDescent="0.2">
      <c r="A1068" s="129" t="str">
        <f>IF(F1068&lt;&gt;"",1+MAX($A$7:A1067),"")</f>
        <v/>
      </c>
      <c r="B1068" s="140"/>
      <c r="C1068" s="140"/>
      <c r="D1068" s="141"/>
      <c r="E1068" s="165" t="s">
        <v>47</v>
      </c>
      <c r="F1068" s="166"/>
      <c r="G1068" s="167"/>
      <c r="H1068" s="168">
        <f>ROUNDUP((H1064)*5.25/1000,0)</f>
        <v>13</v>
      </c>
      <c r="I1068" s="145" t="s">
        <v>48</v>
      </c>
      <c r="J1068" s="37"/>
      <c r="K1068" s="159"/>
      <c r="L1068" s="160"/>
    </row>
    <row r="1069" spans="1:12" s="21" customFormat="1" x14ac:dyDescent="0.2">
      <c r="A1069" s="129">
        <f>IF(F1069&lt;&gt;"",1+MAX($A$7:A1068),"")</f>
        <v>375</v>
      </c>
      <c r="B1069" s="140" t="s">
        <v>105</v>
      </c>
      <c r="C1069" s="140" t="s">
        <v>104</v>
      </c>
      <c r="D1069" s="141"/>
      <c r="E1069" s="163" t="s">
        <v>102</v>
      </c>
      <c r="F1069" s="149">
        <f>1203.6*4+21.8*4</f>
        <v>4901.5999999999995</v>
      </c>
      <c r="G1069" s="124">
        <v>0.1</v>
      </c>
      <c r="H1069" s="143">
        <f>F1069*(1+G1069)</f>
        <v>5391.76</v>
      </c>
      <c r="I1069" s="145" t="s">
        <v>15</v>
      </c>
      <c r="J1069" s="37">
        <f>J$148</f>
        <v>0</v>
      </c>
      <c r="K1069" s="159">
        <f>J1069*H1069</f>
        <v>0</v>
      </c>
      <c r="L1069" s="160"/>
    </row>
    <row r="1070" spans="1:12" s="21" customFormat="1" x14ac:dyDescent="0.2">
      <c r="A1070" s="129" t="str">
        <f>IF(F1070&lt;&gt;"",1+MAX($A$7:A1069),"")</f>
        <v/>
      </c>
      <c r="B1070" s="140"/>
      <c r="C1070" s="140"/>
      <c r="D1070" s="141"/>
      <c r="E1070" s="163"/>
      <c r="F1070" s="149"/>
      <c r="G1070" s="124"/>
      <c r="H1070" s="143"/>
      <c r="I1070" s="145"/>
      <c r="J1070" s="37"/>
      <c r="K1070" s="159"/>
      <c r="L1070" s="160"/>
    </row>
    <row r="1071" spans="1:12" s="21" customFormat="1" x14ac:dyDescent="0.2">
      <c r="A1071" s="129" t="str">
        <f>IF(F1071&lt;&gt;"",1+MAX($A$7:A1070),"")</f>
        <v/>
      </c>
      <c r="B1071" s="140"/>
      <c r="C1071" s="140"/>
      <c r="D1071" s="141"/>
      <c r="E1071" s="158" t="s">
        <v>107</v>
      </c>
      <c r="F1071" s="149"/>
      <c r="G1071" s="144"/>
      <c r="H1071" s="143"/>
      <c r="I1071" s="145"/>
      <c r="J1071" s="37"/>
      <c r="K1071" s="159"/>
      <c r="L1071" s="160"/>
    </row>
    <row r="1072" spans="1:12" s="21" customFormat="1" x14ac:dyDescent="0.2">
      <c r="A1072" s="129">
        <f>IF(F1072&lt;&gt;"",1+MAX($A$7:A1071),"")</f>
        <v>376</v>
      </c>
      <c r="B1072" s="140" t="s">
        <v>105</v>
      </c>
      <c r="C1072" s="140" t="s">
        <v>104</v>
      </c>
      <c r="D1072" s="149"/>
      <c r="E1072" s="163" t="s">
        <v>100</v>
      </c>
      <c r="F1072" s="149">
        <f>8.2*9</f>
        <v>73.8</v>
      </c>
      <c r="G1072" s="124">
        <v>0.1</v>
      </c>
      <c r="H1072" s="143">
        <f>F1072*(1+G1072)</f>
        <v>81.180000000000007</v>
      </c>
      <c r="I1072" s="145" t="s">
        <v>18</v>
      </c>
      <c r="J1072" s="37">
        <f>J$143</f>
        <v>0</v>
      </c>
      <c r="K1072" s="159">
        <f>J1072*H1072</f>
        <v>0</v>
      </c>
      <c r="L1072" s="160"/>
    </row>
    <row r="1073" spans="1:12" s="21" customFormat="1" x14ac:dyDescent="0.2">
      <c r="A1073" s="129" t="str">
        <f>IF(F1073&lt;&gt;"",1+MAX($A$7:A1072),"")</f>
        <v/>
      </c>
      <c r="B1073" s="140"/>
      <c r="C1073" s="140"/>
      <c r="D1073" s="141"/>
      <c r="E1073" s="165" t="s">
        <v>41</v>
      </c>
      <c r="F1073" s="166"/>
      <c r="G1073" s="167"/>
      <c r="H1073" s="143">
        <f>ROUNDUP((H1072)/32,0)</f>
        <v>3</v>
      </c>
      <c r="I1073" s="145" t="s">
        <v>42</v>
      </c>
      <c r="J1073" s="37"/>
      <c r="K1073" s="159"/>
      <c r="L1073" s="160"/>
    </row>
    <row r="1074" spans="1:12" s="21" customFormat="1" x14ac:dyDescent="0.2">
      <c r="A1074" s="129" t="str">
        <f>IF(F1074&lt;&gt;"",1+MAX($A$7:A1073),"")</f>
        <v/>
      </c>
      <c r="B1074" s="140"/>
      <c r="C1074" s="140"/>
      <c r="D1074" s="141"/>
      <c r="E1074" s="165" t="s">
        <v>43</v>
      </c>
      <c r="F1074" s="166"/>
      <c r="G1074" s="167"/>
      <c r="H1074" s="143">
        <f>ROUNDUP(H1073*24/500,0)</f>
        <v>1</v>
      </c>
      <c r="I1074" s="145" t="s">
        <v>44</v>
      </c>
      <c r="J1074" s="37"/>
      <c r="K1074" s="159"/>
      <c r="L1074" s="160"/>
    </row>
    <row r="1075" spans="1:12" s="21" customFormat="1" x14ac:dyDescent="0.2">
      <c r="A1075" s="129" t="str">
        <f>IF(F1075&lt;&gt;"",1+MAX($A$7:A1074),"")</f>
        <v/>
      </c>
      <c r="B1075" s="140"/>
      <c r="C1075" s="140"/>
      <c r="D1075" s="141"/>
      <c r="E1075" s="165" t="s">
        <v>45</v>
      </c>
      <c r="F1075" s="166"/>
      <c r="G1075" s="167"/>
      <c r="H1075" s="168">
        <f>ROUNDUP((H1072)/200,0)</f>
        <v>1</v>
      </c>
      <c r="I1075" s="145" t="s">
        <v>46</v>
      </c>
      <c r="J1075" s="37"/>
      <c r="K1075" s="159"/>
      <c r="L1075" s="160"/>
    </row>
    <row r="1076" spans="1:12" s="21" customFormat="1" x14ac:dyDescent="0.2">
      <c r="A1076" s="129" t="str">
        <f>IF(F1076&lt;&gt;"",1+MAX($A$7:A1075),"")</f>
        <v/>
      </c>
      <c r="B1076" s="140"/>
      <c r="C1076" s="140"/>
      <c r="D1076" s="141"/>
      <c r="E1076" s="165" t="s">
        <v>47</v>
      </c>
      <c r="F1076" s="166"/>
      <c r="G1076" s="167"/>
      <c r="H1076" s="168">
        <f>ROUNDUP((H1072)*5.25/1000,0)</f>
        <v>1</v>
      </c>
      <c r="I1076" s="145" t="s">
        <v>48</v>
      </c>
      <c r="J1076" s="37"/>
      <c r="K1076" s="159"/>
      <c r="L1076" s="160"/>
    </row>
    <row r="1077" spans="1:12" s="21" customFormat="1" x14ac:dyDescent="0.2">
      <c r="A1077" s="129">
        <f>IF(F1077&lt;&gt;"",1+MAX($A$7:A1076),"")</f>
        <v>377</v>
      </c>
      <c r="B1077" s="140" t="s">
        <v>105</v>
      </c>
      <c r="C1077" s="140" t="s">
        <v>104</v>
      </c>
      <c r="D1077" s="149"/>
      <c r="E1077" s="163" t="s">
        <v>101</v>
      </c>
      <c r="F1077" s="149">
        <f>8.2*9</f>
        <v>73.8</v>
      </c>
      <c r="G1077" s="124">
        <v>0.1</v>
      </c>
      <c r="H1077" s="143">
        <f>F1077*(1+G1077)</f>
        <v>81.180000000000007</v>
      </c>
      <c r="I1077" s="145" t="s">
        <v>18</v>
      </c>
      <c r="J1077" s="37">
        <f>J$160</f>
        <v>0</v>
      </c>
      <c r="K1077" s="159">
        <f>J1077*H1077</f>
        <v>0</v>
      </c>
      <c r="L1077" s="160"/>
    </row>
    <row r="1078" spans="1:12" s="21" customFormat="1" x14ac:dyDescent="0.2">
      <c r="A1078" s="129" t="str">
        <f>IF(F1078&lt;&gt;"",1+MAX($A$7:A1077),"")</f>
        <v/>
      </c>
      <c r="B1078" s="140"/>
      <c r="C1078" s="140"/>
      <c r="D1078" s="141"/>
      <c r="E1078" s="165" t="s">
        <v>41</v>
      </c>
      <c r="F1078" s="166"/>
      <c r="G1078" s="167"/>
      <c r="H1078" s="143">
        <f>ROUNDUP((H1077)/32,0)</f>
        <v>3</v>
      </c>
      <c r="I1078" s="145" t="s">
        <v>42</v>
      </c>
      <c r="J1078" s="37"/>
      <c r="K1078" s="159"/>
      <c r="L1078" s="160"/>
    </row>
    <row r="1079" spans="1:12" s="21" customFormat="1" x14ac:dyDescent="0.2">
      <c r="A1079" s="129" t="str">
        <f>IF(F1079&lt;&gt;"",1+MAX($A$7:A1078),"")</f>
        <v/>
      </c>
      <c r="B1079" s="140"/>
      <c r="C1079" s="140"/>
      <c r="D1079" s="141"/>
      <c r="E1079" s="165" t="s">
        <v>43</v>
      </c>
      <c r="F1079" s="166"/>
      <c r="G1079" s="167"/>
      <c r="H1079" s="143">
        <f>ROUNDUP(H1078*24/500,0)</f>
        <v>1</v>
      </c>
      <c r="I1079" s="145" t="s">
        <v>44</v>
      </c>
      <c r="J1079" s="37"/>
      <c r="K1079" s="159"/>
      <c r="L1079" s="160"/>
    </row>
    <row r="1080" spans="1:12" s="21" customFormat="1" x14ac:dyDescent="0.2">
      <c r="A1080" s="129" t="str">
        <f>IF(F1080&lt;&gt;"",1+MAX($A$7:A1079),"")</f>
        <v/>
      </c>
      <c r="B1080" s="140"/>
      <c r="C1080" s="140"/>
      <c r="D1080" s="141"/>
      <c r="E1080" s="165" t="s">
        <v>45</v>
      </c>
      <c r="F1080" s="166"/>
      <c r="G1080" s="167"/>
      <c r="H1080" s="168">
        <f>ROUNDUP((H1077)/200,0)</f>
        <v>1</v>
      </c>
      <c r="I1080" s="145" t="s">
        <v>46</v>
      </c>
      <c r="J1080" s="37"/>
      <c r="K1080" s="159"/>
      <c r="L1080" s="160"/>
    </row>
    <row r="1081" spans="1:12" s="21" customFormat="1" x14ac:dyDescent="0.2">
      <c r="A1081" s="129" t="str">
        <f>IF(F1081&lt;&gt;"",1+MAX($A$7:A1080),"")</f>
        <v/>
      </c>
      <c r="B1081" s="140"/>
      <c r="C1081" s="140"/>
      <c r="D1081" s="141"/>
      <c r="E1081" s="165" t="s">
        <v>47</v>
      </c>
      <c r="F1081" s="166"/>
      <c r="G1081" s="167"/>
      <c r="H1081" s="168">
        <f>ROUNDUP((H1077)*5.25/1000,0)</f>
        <v>1</v>
      </c>
      <c r="I1081" s="145" t="s">
        <v>48</v>
      </c>
      <c r="J1081" s="37"/>
      <c r="K1081" s="159"/>
      <c r="L1081" s="160"/>
    </row>
    <row r="1082" spans="1:12" s="21" customFormat="1" x14ac:dyDescent="0.2">
      <c r="A1082" s="129">
        <f>IF(F1082&lt;&gt;"",1+MAX($A$7:A1081),"")</f>
        <v>378</v>
      </c>
      <c r="B1082" s="140" t="s">
        <v>105</v>
      </c>
      <c r="C1082" s="140" t="s">
        <v>104</v>
      </c>
      <c r="D1082" s="141"/>
      <c r="E1082" s="163" t="s">
        <v>102</v>
      </c>
      <c r="F1082" s="149">
        <f>8.2*4</f>
        <v>32.799999999999997</v>
      </c>
      <c r="G1082" s="124">
        <v>0.1</v>
      </c>
      <c r="H1082" s="143">
        <f>F1082*(1+G1082)</f>
        <v>36.08</v>
      </c>
      <c r="I1082" s="145" t="s">
        <v>15</v>
      </c>
      <c r="J1082" s="37">
        <f>J$148</f>
        <v>0</v>
      </c>
      <c r="K1082" s="159">
        <f>J1082*H1082</f>
        <v>0</v>
      </c>
      <c r="L1082" s="160"/>
    </row>
    <row r="1083" spans="1:12" s="21" customFormat="1" x14ac:dyDescent="0.2">
      <c r="A1083" s="129" t="str">
        <f>IF(F1083&lt;&gt;"",1+MAX($A$7:A1082),"")</f>
        <v/>
      </c>
      <c r="B1083" s="140"/>
      <c r="C1083" s="140"/>
      <c r="D1083" s="141"/>
      <c r="E1083" s="163"/>
      <c r="F1083" s="149"/>
      <c r="G1083" s="124"/>
      <c r="H1083" s="143"/>
      <c r="I1083" s="145"/>
      <c r="J1083" s="37"/>
      <c r="K1083" s="159"/>
      <c r="L1083" s="160"/>
    </row>
    <row r="1084" spans="1:12" s="21" customFormat="1" x14ac:dyDescent="0.2">
      <c r="A1084" s="129" t="str">
        <f>IF(F1084&lt;&gt;"",1+MAX($A$7:A1083),"")</f>
        <v/>
      </c>
      <c r="B1084" s="140"/>
      <c r="C1084" s="140"/>
      <c r="D1084" s="141"/>
      <c r="E1084" s="158" t="s">
        <v>108</v>
      </c>
      <c r="F1084" s="149"/>
      <c r="G1084" s="144"/>
      <c r="H1084" s="143"/>
      <c r="I1084" s="145"/>
      <c r="J1084" s="37"/>
      <c r="K1084" s="159"/>
      <c r="L1084" s="160"/>
    </row>
    <row r="1085" spans="1:12" s="21" customFormat="1" ht="31.5" x14ac:dyDescent="0.2">
      <c r="A1085" s="129">
        <f>IF(F1085&lt;&gt;"",1+MAX($A$7:A1084),"")</f>
        <v>379</v>
      </c>
      <c r="B1085" s="140" t="s">
        <v>105</v>
      </c>
      <c r="C1085" s="140" t="s">
        <v>104</v>
      </c>
      <c r="D1085" s="149"/>
      <c r="E1085" s="163" t="s">
        <v>65</v>
      </c>
      <c r="F1085" s="149">
        <f>7.4*9*2*2</f>
        <v>266.40000000000003</v>
      </c>
      <c r="G1085" s="124">
        <v>0.1</v>
      </c>
      <c r="H1085" s="143">
        <f>F1085*(1+G1085)</f>
        <v>293.04000000000008</v>
      </c>
      <c r="I1085" s="145" t="s">
        <v>18</v>
      </c>
      <c r="J1085" s="37">
        <f>J$143</f>
        <v>0</v>
      </c>
      <c r="K1085" s="159">
        <f>J1085*H1085</f>
        <v>0</v>
      </c>
      <c r="L1085" s="160"/>
    </row>
    <row r="1086" spans="1:12" s="21" customFormat="1" x14ac:dyDescent="0.2">
      <c r="A1086" s="129" t="str">
        <f>IF(F1086&lt;&gt;"",1+MAX($A$7:A1085),"")</f>
        <v/>
      </c>
      <c r="B1086" s="140"/>
      <c r="C1086" s="140"/>
      <c r="D1086" s="141"/>
      <c r="E1086" s="165" t="s">
        <v>41</v>
      </c>
      <c r="F1086" s="166"/>
      <c r="G1086" s="167"/>
      <c r="H1086" s="143">
        <f>ROUNDUP((H1085)/32,0)</f>
        <v>10</v>
      </c>
      <c r="I1086" s="145" t="s">
        <v>42</v>
      </c>
      <c r="J1086" s="37"/>
      <c r="K1086" s="159"/>
      <c r="L1086" s="160"/>
    </row>
    <row r="1087" spans="1:12" s="21" customFormat="1" x14ac:dyDescent="0.2">
      <c r="A1087" s="129" t="str">
        <f>IF(F1087&lt;&gt;"",1+MAX($A$7:A1086),"")</f>
        <v/>
      </c>
      <c r="B1087" s="140"/>
      <c r="C1087" s="140"/>
      <c r="D1087" s="141"/>
      <c r="E1087" s="165" t="s">
        <v>43</v>
      </c>
      <c r="F1087" s="166"/>
      <c r="G1087" s="167"/>
      <c r="H1087" s="143">
        <f>ROUNDUP(H1086*24/500,0)</f>
        <v>1</v>
      </c>
      <c r="I1087" s="145" t="s">
        <v>44</v>
      </c>
      <c r="J1087" s="37"/>
      <c r="K1087" s="159"/>
      <c r="L1087" s="160"/>
    </row>
    <row r="1088" spans="1:12" s="21" customFormat="1" x14ac:dyDescent="0.2">
      <c r="A1088" s="129" t="str">
        <f>IF(F1088&lt;&gt;"",1+MAX($A$7:A1087),"")</f>
        <v/>
      </c>
      <c r="B1088" s="140"/>
      <c r="C1088" s="140"/>
      <c r="D1088" s="141"/>
      <c r="E1088" s="165" t="s">
        <v>45</v>
      </c>
      <c r="F1088" s="166"/>
      <c r="G1088" s="167"/>
      <c r="H1088" s="168">
        <f>ROUNDUP((H1085)/200,0)</f>
        <v>2</v>
      </c>
      <c r="I1088" s="145" t="s">
        <v>46</v>
      </c>
      <c r="J1088" s="37"/>
      <c r="K1088" s="159"/>
      <c r="L1088" s="160"/>
    </row>
    <row r="1089" spans="1:12" s="21" customFormat="1" x14ac:dyDescent="0.2">
      <c r="A1089" s="129" t="str">
        <f>IF(F1089&lt;&gt;"",1+MAX($A$7:A1088),"")</f>
        <v/>
      </c>
      <c r="B1089" s="140"/>
      <c r="C1089" s="140"/>
      <c r="D1089" s="141"/>
      <c r="E1089" s="165" t="s">
        <v>47</v>
      </c>
      <c r="F1089" s="166"/>
      <c r="G1089" s="167"/>
      <c r="H1089" s="168">
        <f>ROUNDUP((H1085)*5.25/1000,0)</f>
        <v>2</v>
      </c>
      <c r="I1089" s="145" t="s">
        <v>48</v>
      </c>
      <c r="J1089" s="37"/>
      <c r="K1089" s="159"/>
      <c r="L1089" s="160"/>
    </row>
    <row r="1090" spans="1:12" s="21" customFormat="1" x14ac:dyDescent="0.2">
      <c r="A1090" s="129">
        <f>IF(F1090&lt;&gt;"",1+MAX($A$7:A1089),"")</f>
        <v>380</v>
      </c>
      <c r="B1090" s="140" t="s">
        <v>105</v>
      </c>
      <c r="C1090" s="140" t="s">
        <v>104</v>
      </c>
      <c r="D1090" s="141"/>
      <c r="E1090" s="163" t="s">
        <v>102</v>
      </c>
      <c r="F1090" s="149">
        <f>7.4*4</f>
        <v>29.6</v>
      </c>
      <c r="G1090" s="124">
        <v>0.1</v>
      </c>
      <c r="H1090" s="143">
        <f>F1090*(1+G1090)</f>
        <v>32.56</v>
      </c>
      <c r="I1090" s="145" t="s">
        <v>15</v>
      </c>
      <c r="J1090" s="37">
        <f>J$148</f>
        <v>0</v>
      </c>
      <c r="K1090" s="159">
        <f>J1090*H1090</f>
        <v>0</v>
      </c>
      <c r="L1090" s="160"/>
    </row>
    <row r="1091" spans="1:12" s="21" customFormat="1" x14ac:dyDescent="0.2">
      <c r="A1091" s="129">
        <f>IF(F1091&lt;&gt;"",1+MAX($A$7:A1090),"")</f>
        <v>381</v>
      </c>
      <c r="B1091" s="140" t="s">
        <v>105</v>
      </c>
      <c r="C1091" s="140" t="s">
        <v>104</v>
      </c>
      <c r="D1091" s="149"/>
      <c r="E1091" s="163" t="s">
        <v>109</v>
      </c>
      <c r="F1091" s="149">
        <f>7.4*9</f>
        <v>66.600000000000009</v>
      </c>
      <c r="G1091" s="124">
        <v>0.1</v>
      </c>
      <c r="H1091" s="143">
        <f>F1091*(1+G1091)</f>
        <v>73.260000000000019</v>
      </c>
      <c r="I1091" s="145" t="s">
        <v>18</v>
      </c>
      <c r="J1091" s="37">
        <f>J$251</f>
        <v>0</v>
      </c>
      <c r="K1091" s="159">
        <f>J1091*H1091</f>
        <v>0</v>
      </c>
      <c r="L1091" s="160"/>
    </row>
    <row r="1092" spans="1:12" s="21" customFormat="1" x14ac:dyDescent="0.2">
      <c r="A1092" s="129" t="str">
        <f>IF(F1092&lt;&gt;"",1+MAX($A$7:A1091),"")</f>
        <v/>
      </c>
      <c r="B1092" s="140"/>
      <c r="C1092" s="140"/>
      <c r="D1092" s="141"/>
      <c r="E1092" s="163"/>
      <c r="F1092" s="149"/>
      <c r="G1092" s="124"/>
      <c r="H1092" s="143"/>
      <c r="I1092" s="145"/>
      <c r="J1092" s="37"/>
      <c r="K1092" s="159"/>
      <c r="L1092" s="160"/>
    </row>
    <row r="1093" spans="1:12" s="21" customFormat="1" x14ac:dyDescent="0.2">
      <c r="A1093" s="129" t="str">
        <f>IF(F1093&lt;&gt;"",1+MAX($A$7:A1092),"")</f>
        <v/>
      </c>
      <c r="B1093" s="140"/>
      <c r="C1093" s="140"/>
      <c r="D1093" s="141"/>
      <c r="E1093" s="158" t="s">
        <v>110</v>
      </c>
      <c r="F1093" s="149"/>
      <c r="G1093" s="144"/>
      <c r="H1093" s="143"/>
      <c r="I1093" s="145"/>
      <c r="J1093" s="37"/>
      <c r="K1093" s="159"/>
      <c r="L1093" s="160"/>
    </row>
    <row r="1094" spans="1:12" s="21" customFormat="1" ht="31.5" x14ac:dyDescent="0.2">
      <c r="A1094" s="129">
        <f>IF(F1094&lt;&gt;"",1+MAX($A$7:A1093),"")</f>
        <v>382</v>
      </c>
      <c r="B1094" s="140" t="s">
        <v>105</v>
      </c>
      <c r="C1094" s="140" t="s">
        <v>104</v>
      </c>
      <c r="D1094" s="149"/>
      <c r="E1094" s="163" t="s">
        <v>65</v>
      </c>
      <c r="F1094" s="149">
        <f>51.5*9*2*2</f>
        <v>1854</v>
      </c>
      <c r="G1094" s="124">
        <v>0.1</v>
      </c>
      <c r="H1094" s="143">
        <f>F1094*(1+G1094)</f>
        <v>2039.4</v>
      </c>
      <c r="I1094" s="145" t="s">
        <v>18</v>
      </c>
      <c r="J1094" s="37">
        <f>J$143</f>
        <v>0</v>
      </c>
      <c r="K1094" s="159">
        <f>J1094*H1094</f>
        <v>0</v>
      </c>
      <c r="L1094" s="160"/>
    </row>
    <row r="1095" spans="1:12" s="21" customFormat="1" x14ac:dyDescent="0.2">
      <c r="A1095" s="129" t="str">
        <f>IF(F1095&lt;&gt;"",1+MAX($A$7:A1094),"")</f>
        <v/>
      </c>
      <c r="B1095" s="140"/>
      <c r="C1095" s="140"/>
      <c r="D1095" s="141"/>
      <c r="E1095" s="165" t="s">
        <v>41</v>
      </c>
      <c r="F1095" s="166"/>
      <c r="G1095" s="167"/>
      <c r="H1095" s="143">
        <f>ROUNDUP((H1094)/32,0)</f>
        <v>64</v>
      </c>
      <c r="I1095" s="145" t="s">
        <v>42</v>
      </c>
      <c r="J1095" s="37"/>
      <c r="K1095" s="159"/>
      <c r="L1095" s="160"/>
    </row>
    <row r="1096" spans="1:12" s="21" customFormat="1" x14ac:dyDescent="0.2">
      <c r="A1096" s="129" t="str">
        <f>IF(F1096&lt;&gt;"",1+MAX($A$7:A1095),"")</f>
        <v/>
      </c>
      <c r="B1096" s="140"/>
      <c r="C1096" s="140"/>
      <c r="D1096" s="141"/>
      <c r="E1096" s="165" t="s">
        <v>43</v>
      </c>
      <c r="F1096" s="166"/>
      <c r="G1096" s="167"/>
      <c r="H1096" s="143">
        <f>ROUNDUP(H1095*24/500,0)</f>
        <v>4</v>
      </c>
      <c r="I1096" s="145" t="s">
        <v>44</v>
      </c>
      <c r="J1096" s="37"/>
      <c r="K1096" s="159"/>
      <c r="L1096" s="160"/>
    </row>
    <row r="1097" spans="1:12" s="21" customFormat="1" x14ac:dyDescent="0.2">
      <c r="A1097" s="129" t="str">
        <f>IF(F1097&lt;&gt;"",1+MAX($A$7:A1096),"")</f>
        <v/>
      </c>
      <c r="B1097" s="140"/>
      <c r="C1097" s="140"/>
      <c r="D1097" s="141"/>
      <c r="E1097" s="165" t="s">
        <v>45</v>
      </c>
      <c r="F1097" s="166"/>
      <c r="G1097" s="167"/>
      <c r="H1097" s="168">
        <f>ROUNDUP((H1094)/200,0)</f>
        <v>11</v>
      </c>
      <c r="I1097" s="145" t="s">
        <v>46</v>
      </c>
      <c r="J1097" s="37"/>
      <c r="K1097" s="159"/>
      <c r="L1097" s="160"/>
    </row>
    <row r="1098" spans="1:12" s="21" customFormat="1" x14ac:dyDescent="0.2">
      <c r="A1098" s="129" t="str">
        <f>IF(F1098&lt;&gt;"",1+MAX($A$7:A1097),"")</f>
        <v/>
      </c>
      <c r="B1098" s="140"/>
      <c r="C1098" s="140"/>
      <c r="D1098" s="141"/>
      <c r="E1098" s="165" t="s">
        <v>47</v>
      </c>
      <c r="F1098" s="166"/>
      <c r="G1098" s="167"/>
      <c r="H1098" s="168">
        <f>ROUNDUP((H1094)*5.25/1000,0)</f>
        <v>11</v>
      </c>
      <c r="I1098" s="145" t="s">
        <v>48</v>
      </c>
      <c r="J1098" s="37"/>
      <c r="K1098" s="159"/>
      <c r="L1098" s="160"/>
    </row>
    <row r="1099" spans="1:12" s="21" customFormat="1" x14ac:dyDescent="0.2">
      <c r="A1099" s="129">
        <f>IF(F1099&lt;&gt;"",1+MAX($A$7:A1098),"")</f>
        <v>383</v>
      </c>
      <c r="B1099" s="140" t="s">
        <v>105</v>
      </c>
      <c r="C1099" s="140" t="s">
        <v>104</v>
      </c>
      <c r="D1099" s="141"/>
      <c r="E1099" s="163" t="s">
        <v>102</v>
      </c>
      <c r="F1099" s="149">
        <f>51.5*4</f>
        <v>206</v>
      </c>
      <c r="G1099" s="124">
        <v>0.1</v>
      </c>
      <c r="H1099" s="143">
        <f>F1099*(1+G1099)</f>
        <v>226.60000000000002</v>
      </c>
      <c r="I1099" s="145" t="s">
        <v>15</v>
      </c>
      <c r="J1099" s="37">
        <f>J$148</f>
        <v>0</v>
      </c>
      <c r="K1099" s="159">
        <f>J1099*H1099</f>
        <v>0</v>
      </c>
      <c r="L1099" s="160"/>
    </row>
    <row r="1100" spans="1:12" s="21" customFormat="1" x14ac:dyDescent="0.2">
      <c r="A1100" s="129">
        <f>IF(F1100&lt;&gt;"",1+MAX($A$7:A1099),"")</f>
        <v>384</v>
      </c>
      <c r="B1100" s="140" t="s">
        <v>105</v>
      </c>
      <c r="C1100" s="140" t="s">
        <v>104</v>
      </c>
      <c r="D1100" s="149"/>
      <c r="E1100" s="163" t="s">
        <v>111</v>
      </c>
      <c r="F1100" s="149">
        <f>51.5*9</f>
        <v>463.5</v>
      </c>
      <c r="G1100" s="124">
        <v>0.1</v>
      </c>
      <c r="H1100" s="143">
        <f>F1100*(1+G1100)</f>
        <v>509.85</v>
      </c>
      <c r="I1100" s="145" t="s">
        <v>18</v>
      </c>
      <c r="J1100" s="37">
        <f>J$187</f>
        <v>0</v>
      </c>
      <c r="K1100" s="159">
        <f>J1100*H1100</f>
        <v>0</v>
      </c>
      <c r="L1100" s="160"/>
    </row>
    <row r="1101" spans="1:12" s="21" customFormat="1" x14ac:dyDescent="0.2">
      <c r="A1101" s="129" t="str">
        <f>IF(F1101&lt;&gt;"",1+MAX($A$7:A1100),"")</f>
        <v/>
      </c>
      <c r="B1101" s="140"/>
      <c r="C1101" s="140"/>
      <c r="D1101" s="141"/>
      <c r="E1101" s="163"/>
      <c r="F1101" s="149"/>
      <c r="G1101" s="124"/>
      <c r="H1101" s="143"/>
      <c r="I1101" s="145"/>
      <c r="J1101" s="37"/>
      <c r="K1101" s="159"/>
      <c r="L1101" s="160"/>
    </row>
    <row r="1102" spans="1:12" s="21" customFormat="1" x14ac:dyDescent="0.2">
      <c r="A1102" s="129" t="str">
        <f>IF(F1102&lt;&gt;"",1+MAX($A$7:A1101),"")</f>
        <v/>
      </c>
      <c r="B1102" s="140"/>
      <c r="C1102" s="140"/>
      <c r="D1102" s="141"/>
      <c r="E1102" s="158" t="s">
        <v>113</v>
      </c>
      <c r="F1102" s="149"/>
      <c r="G1102" s="144"/>
      <c r="H1102" s="143"/>
      <c r="I1102" s="145"/>
      <c r="J1102" s="37"/>
      <c r="K1102" s="159"/>
      <c r="L1102" s="160"/>
    </row>
    <row r="1103" spans="1:12" s="21" customFormat="1" ht="31.5" x14ac:dyDescent="0.2">
      <c r="A1103" s="129">
        <f>IF(F1103&lt;&gt;"",1+MAX($A$7:A1102),"")</f>
        <v>385</v>
      </c>
      <c r="B1103" s="140" t="s">
        <v>105</v>
      </c>
      <c r="C1103" s="140" t="s">
        <v>104</v>
      </c>
      <c r="D1103" s="149"/>
      <c r="E1103" s="163" t="s">
        <v>65</v>
      </c>
      <c r="F1103" s="149">
        <f>11.3*9*3</f>
        <v>305.10000000000002</v>
      </c>
      <c r="G1103" s="124">
        <v>0.1</v>
      </c>
      <c r="H1103" s="143">
        <f>F1103*(1+G1103)</f>
        <v>335.61000000000007</v>
      </c>
      <c r="I1103" s="145" t="s">
        <v>18</v>
      </c>
      <c r="J1103" s="37">
        <f>J$143</f>
        <v>0</v>
      </c>
      <c r="K1103" s="159">
        <f>J1103*H1103</f>
        <v>0</v>
      </c>
      <c r="L1103" s="160"/>
    </row>
    <row r="1104" spans="1:12" s="21" customFormat="1" x14ac:dyDescent="0.2">
      <c r="A1104" s="129" t="str">
        <f>IF(F1104&lt;&gt;"",1+MAX($A$7:A1103),"")</f>
        <v/>
      </c>
      <c r="B1104" s="140"/>
      <c r="C1104" s="140"/>
      <c r="D1104" s="141"/>
      <c r="E1104" s="165" t="s">
        <v>41</v>
      </c>
      <c r="F1104" s="166"/>
      <c r="G1104" s="167"/>
      <c r="H1104" s="143">
        <f>ROUNDUP((H1103)/32,0)</f>
        <v>11</v>
      </c>
      <c r="I1104" s="145" t="s">
        <v>42</v>
      </c>
      <c r="J1104" s="37"/>
      <c r="K1104" s="159"/>
      <c r="L1104" s="160"/>
    </row>
    <row r="1105" spans="1:12" s="21" customFormat="1" x14ac:dyDescent="0.2">
      <c r="A1105" s="129" t="str">
        <f>IF(F1105&lt;&gt;"",1+MAX($A$7:A1104),"")</f>
        <v/>
      </c>
      <c r="B1105" s="140"/>
      <c r="C1105" s="140"/>
      <c r="D1105" s="141"/>
      <c r="E1105" s="165" t="s">
        <v>43</v>
      </c>
      <c r="F1105" s="166"/>
      <c r="G1105" s="167"/>
      <c r="H1105" s="143">
        <f>ROUNDUP(H1104*24/500,0)</f>
        <v>1</v>
      </c>
      <c r="I1105" s="145" t="s">
        <v>44</v>
      </c>
      <c r="J1105" s="37"/>
      <c r="K1105" s="159"/>
      <c r="L1105" s="160"/>
    </row>
    <row r="1106" spans="1:12" s="21" customFormat="1" x14ac:dyDescent="0.2">
      <c r="A1106" s="129" t="str">
        <f>IF(F1106&lt;&gt;"",1+MAX($A$7:A1105),"")</f>
        <v/>
      </c>
      <c r="B1106" s="140"/>
      <c r="C1106" s="140"/>
      <c r="D1106" s="141"/>
      <c r="E1106" s="165" t="s">
        <v>45</v>
      </c>
      <c r="F1106" s="166"/>
      <c r="G1106" s="167"/>
      <c r="H1106" s="168">
        <f>ROUNDUP((H1103)/200,0)</f>
        <v>2</v>
      </c>
      <c r="I1106" s="145" t="s">
        <v>46</v>
      </c>
      <c r="J1106" s="37"/>
      <c r="K1106" s="159"/>
      <c r="L1106" s="160"/>
    </row>
    <row r="1107" spans="1:12" s="21" customFormat="1" x14ac:dyDescent="0.2">
      <c r="A1107" s="129" t="str">
        <f>IF(F1107&lt;&gt;"",1+MAX($A$7:A1106),"")</f>
        <v/>
      </c>
      <c r="B1107" s="140"/>
      <c r="C1107" s="140"/>
      <c r="D1107" s="141"/>
      <c r="E1107" s="165" t="s">
        <v>47</v>
      </c>
      <c r="F1107" s="166"/>
      <c r="G1107" s="167"/>
      <c r="H1107" s="168">
        <f>ROUNDUP((H1103)*5.25/1000,0)</f>
        <v>2</v>
      </c>
      <c r="I1107" s="145" t="s">
        <v>48</v>
      </c>
      <c r="J1107" s="37"/>
      <c r="K1107" s="159"/>
      <c r="L1107" s="160"/>
    </row>
    <row r="1108" spans="1:12" s="21" customFormat="1" x14ac:dyDescent="0.2">
      <c r="A1108" s="129">
        <f>IF(F1108&lt;&gt;"",1+MAX($A$7:A1107),"")</f>
        <v>386</v>
      </c>
      <c r="B1108" s="140" t="s">
        <v>105</v>
      </c>
      <c r="C1108" s="140" t="s">
        <v>104</v>
      </c>
      <c r="D1108" s="149"/>
      <c r="E1108" s="163" t="s">
        <v>101</v>
      </c>
      <c r="F1108" s="149">
        <f>11.3*9</f>
        <v>101.7</v>
      </c>
      <c r="G1108" s="124">
        <v>0.1</v>
      </c>
      <c r="H1108" s="143">
        <f>F1108*(1+G1108)</f>
        <v>111.87000000000002</v>
      </c>
      <c r="I1108" s="145" t="s">
        <v>18</v>
      </c>
      <c r="J1108" s="37">
        <f>J$160</f>
        <v>0</v>
      </c>
      <c r="K1108" s="159">
        <f>J1108*H1108</f>
        <v>0</v>
      </c>
      <c r="L1108" s="160"/>
    </row>
    <row r="1109" spans="1:12" s="21" customFormat="1" x14ac:dyDescent="0.2">
      <c r="A1109" s="129" t="str">
        <f>IF(F1109&lt;&gt;"",1+MAX($A$7:A1108),"")</f>
        <v/>
      </c>
      <c r="B1109" s="140"/>
      <c r="C1109" s="140"/>
      <c r="D1109" s="141"/>
      <c r="E1109" s="165" t="s">
        <v>41</v>
      </c>
      <c r="F1109" s="166"/>
      <c r="G1109" s="167"/>
      <c r="H1109" s="143">
        <f>ROUNDUP((H1108)/32,0)</f>
        <v>4</v>
      </c>
      <c r="I1109" s="145" t="s">
        <v>42</v>
      </c>
      <c r="J1109" s="37"/>
      <c r="K1109" s="159"/>
      <c r="L1109" s="160"/>
    </row>
    <row r="1110" spans="1:12" s="21" customFormat="1" x14ac:dyDescent="0.2">
      <c r="A1110" s="129" t="str">
        <f>IF(F1110&lt;&gt;"",1+MAX($A$7:A1109),"")</f>
        <v/>
      </c>
      <c r="B1110" s="140"/>
      <c r="C1110" s="140"/>
      <c r="D1110" s="141"/>
      <c r="E1110" s="165" t="s">
        <v>43</v>
      </c>
      <c r="F1110" s="166"/>
      <c r="G1110" s="167"/>
      <c r="H1110" s="143">
        <f>ROUNDUP(H1109*24/500,0)</f>
        <v>1</v>
      </c>
      <c r="I1110" s="145" t="s">
        <v>44</v>
      </c>
      <c r="J1110" s="37"/>
      <c r="K1110" s="159"/>
      <c r="L1110" s="160"/>
    </row>
    <row r="1111" spans="1:12" s="21" customFormat="1" x14ac:dyDescent="0.2">
      <c r="A1111" s="129" t="str">
        <f>IF(F1111&lt;&gt;"",1+MAX($A$7:A1110),"")</f>
        <v/>
      </c>
      <c r="B1111" s="140"/>
      <c r="C1111" s="140"/>
      <c r="D1111" s="141"/>
      <c r="E1111" s="165" t="s">
        <v>45</v>
      </c>
      <c r="F1111" s="166"/>
      <c r="G1111" s="167"/>
      <c r="H1111" s="168">
        <f>ROUNDUP((H1108)/200,0)</f>
        <v>1</v>
      </c>
      <c r="I1111" s="145" t="s">
        <v>46</v>
      </c>
      <c r="J1111" s="37"/>
      <c r="K1111" s="159"/>
      <c r="L1111" s="160"/>
    </row>
    <row r="1112" spans="1:12" s="21" customFormat="1" x14ac:dyDescent="0.2">
      <c r="A1112" s="129" t="str">
        <f>IF(F1112&lt;&gt;"",1+MAX($A$7:A1111),"")</f>
        <v/>
      </c>
      <c r="B1112" s="140"/>
      <c r="C1112" s="140"/>
      <c r="D1112" s="141"/>
      <c r="E1112" s="165" t="s">
        <v>47</v>
      </c>
      <c r="F1112" s="166"/>
      <c r="G1112" s="167"/>
      <c r="H1112" s="168">
        <f>ROUNDUP((H1108)*5.25/1000,0)</f>
        <v>1</v>
      </c>
      <c r="I1112" s="145" t="s">
        <v>48</v>
      </c>
      <c r="J1112" s="37"/>
      <c r="K1112" s="159"/>
      <c r="L1112" s="160"/>
    </row>
    <row r="1113" spans="1:12" s="21" customFormat="1" x14ac:dyDescent="0.2">
      <c r="A1113" s="129">
        <f>IF(F1113&lt;&gt;"",1+MAX($A$7:A1112),"")</f>
        <v>387</v>
      </c>
      <c r="B1113" s="140" t="s">
        <v>105</v>
      </c>
      <c r="C1113" s="140" t="s">
        <v>104</v>
      </c>
      <c r="D1113" s="141"/>
      <c r="E1113" s="163" t="s">
        <v>102</v>
      </c>
      <c r="F1113" s="149">
        <f>11.3*4</f>
        <v>45.2</v>
      </c>
      <c r="G1113" s="124">
        <v>0.1</v>
      </c>
      <c r="H1113" s="143">
        <f>F1113*(1+G1113)</f>
        <v>49.720000000000006</v>
      </c>
      <c r="I1113" s="145" t="s">
        <v>15</v>
      </c>
      <c r="J1113" s="37">
        <f>J$148</f>
        <v>0</v>
      </c>
      <c r="K1113" s="159">
        <f>J1113*H1113</f>
        <v>0</v>
      </c>
      <c r="L1113" s="160"/>
    </row>
    <row r="1114" spans="1:12" s="21" customFormat="1" x14ac:dyDescent="0.2">
      <c r="A1114" s="129">
        <f>IF(F1114&lt;&gt;"",1+MAX($A$7:A1113),"")</f>
        <v>388</v>
      </c>
      <c r="B1114" s="140" t="s">
        <v>105</v>
      </c>
      <c r="C1114" s="140" t="s">
        <v>104</v>
      </c>
      <c r="D1114" s="149"/>
      <c r="E1114" s="163" t="s">
        <v>112</v>
      </c>
      <c r="F1114" s="149">
        <f>11.3*9</f>
        <v>101.7</v>
      </c>
      <c r="G1114" s="124">
        <v>0.1</v>
      </c>
      <c r="H1114" s="143">
        <f>F1114*(1+G1114)</f>
        <v>111.87000000000002</v>
      </c>
      <c r="I1114" s="145" t="s">
        <v>18</v>
      </c>
      <c r="J1114" s="37">
        <f>J$226</f>
        <v>0</v>
      </c>
      <c r="K1114" s="159">
        <f>J1114*H1114</f>
        <v>0</v>
      </c>
      <c r="L1114" s="160"/>
    </row>
    <row r="1115" spans="1:12" s="21" customFormat="1" x14ac:dyDescent="0.2">
      <c r="A1115" s="129" t="str">
        <f>IF(F1115&lt;&gt;"",1+MAX($A$7:A1114),"")</f>
        <v/>
      </c>
      <c r="B1115" s="140"/>
      <c r="C1115" s="140"/>
      <c r="D1115" s="141"/>
      <c r="E1115" s="163"/>
      <c r="F1115" s="149"/>
      <c r="G1115" s="124"/>
      <c r="H1115" s="143"/>
      <c r="I1115" s="145"/>
      <c r="J1115" s="37"/>
      <c r="K1115" s="159"/>
      <c r="L1115" s="160"/>
    </row>
    <row r="1116" spans="1:12" s="21" customFormat="1" x14ac:dyDescent="0.2">
      <c r="A1116" s="129" t="str">
        <f>IF(F1116&lt;&gt;"",1+MAX($A$7:A1115),"")</f>
        <v/>
      </c>
      <c r="B1116" s="140"/>
      <c r="C1116" s="140"/>
      <c r="D1116" s="141"/>
      <c r="E1116" s="158" t="s">
        <v>114</v>
      </c>
      <c r="F1116" s="149"/>
      <c r="G1116" s="144"/>
      <c r="H1116" s="143"/>
      <c r="I1116" s="145"/>
      <c r="J1116" s="37"/>
      <c r="K1116" s="159"/>
      <c r="L1116" s="160"/>
    </row>
    <row r="1117" spans="1:12" s="21" customFormat="1" x14ac:dyDescent="0.2">
      <c r="A1117" s="129">
        <f>IF(F1117&lt;&gt;"",1+MAX($A$7:A1116),"")</f>
        <v>389</v>
      </c>
      <c r="B1117" s="140" t="s">
        <v>105</v>
      </c>
      <c r="C1117" s="140" t="s">
        <v>104</v>
      </c>
      <c r="D1117" s="149"/>
      <c r="E1117" s="163" t="s">
        <v>133</v>
      </c>
      <c r="F1117" s="149">
        <f>10.1*9*2*2</f>
        <v>363.59999999999997</v>
      </c>
      <c r="G1117" s="124">
        <v>0.1</v>
      </c>
      <c r="H1117" s="143">
        <f>F1117*(1+G1117)</f>
        <v>399.96</v>
      </c>
      <c r="I1117" s="145" t="s">
        <v>18</v>
      </c>
      <c r="J1117" s="37">
        <f>J$143</f>
        <v>0</v>
      </c>
      <c r="K1117" s="159">
        <f>J1117*H1117</f>
        <v>0</v>
      </c>
      <c r="L1117" s="160"/>
    </row>
    <row r="1118" spans="1:12" s="21" customFormat="1" x14ac:dyDescent="0.2">
      <c r="A1118" s="129" t="str">
        <f>IF(F1118&lt;&gt;"",1+MAX($A$7:A1117),"")</f>
        <v/>
      </c>
      <c r="B1118" s="140"/>
      <c r="C1118" s="140"/>
      <c r="D1118" s="141"/>
      <c r="E1118" s="165" t="s">
        <v>41</v>
      </c>
      <c r="F1118" s="166"/>
      <c r="G1118" s="167"/>
      <c r="H1118" s="143">
        <f>ROUNDUP((H1117)/32,0)</f>
        <v>13</v>
      </c>
      <c r="I1118" s="145" t="s">
        <v>42</v>
      </c>
      <c r="J1118" s="37"/>
      <c r="K1118" s="159"/>
      <c r="L1118" s="160"/>
    </row>
    <row r="1119" spans="1:12" s="21" customFormat="1" x14ac:dyDescent="0.2">
      <c r="A1119" s="129" t="str">
        <f>IF(F1119&lt;&gt;"",1+MAX($A$7:A1118),"")</f>
        <v/>
      </c>
      <c r="B1119" s="140"/>
      <c r="C1119" s="140"/>
      <c r="D1119" s="141"/>
      <c r="E1119" s="165" t="s">
        <v>43</v>
      </c>
      <c r="F1119" s="166"/>
      <c r="G1119" s="167"/>
      <c r="H1119" s="143">
        <f>ROUNDUP(H1118*24/500,0)</f>
        <v>1</v>
      </c>
      <c r="I1119" s="145" t="s">
        <v>44</v>
      </c>
      <c r="J1119" s="37"/>
      <c r="K1119" s="159"/>
      <c r="L1119" s="160"/>
    </row>
    <row r="1120" spans="1:12" s="21" customFormat="1" x14ac:dyDescent="0.2">
      <c r="A1120" s="129" t="str">
        <f>IF(F1120&lt;&gt;"",1+MAX($A$7:A1119),"")</f>
        <v/>
      </c>
      <c r="B1120" s="140"/>
      <c r="C1120" s="140"/>
      <c r="D1120" s="141"/>
      <c r="E1120" s="165" t="s">
        <v>45</v>
      </c>
      <c r="F1120" s="166"/>
      <c r="G1120" s="167"/>
      <c r="H1120" s="168">
        <f>ROUNDUP((H1117)/200,0)</f>
        <v>2</v>
      </c>
      <c r="I1120" s="145" t="s">
        <v>46</v>
      </c>
      <c r="J1120" s="37"/>
      <c r="K1120" s="159"/>
      <c r="L1120" s="160"/>
    </row>
    <row r="1121" spans="1:12" s="21" customFormat="1" x14ac:dyDescent="0.2">
      <c r="A1121" s="129" t="str">
        <f>IF(F1121&lt;&gt;"",1+MAX($A$7:A1120),"")</f>
        <v/>
      </c>
      <c r="B1121" s="140"/>
      <c r="C1121" s="140"/>
      <c r="D1121" s="141"/>
      <c r="E1121" s="165" t="s">
        <v>47</v>
      </c>
      <c r="F1121" s="166"/>
      <c r="G1121" s="167"/>
      <c r="H1121" s="168">
        <f>ROUNDUP((H1117)*5.25/1000,0)</f>
        <v>3</v>
      </c>
      <c r="I1121" s="145" t="s">
        <v>48</v>
      </c>
      <c r="J1121" s="37"/>
      <c r="K1121" s="159"/>
      <c r="L1121" s="160"/>
    </row>
    <row r="1122" spans="1:12" s="21" customFormat="1" x14ac:dyDescent="0.2">
      <c r="A1122" s="129">
        <f>IF(F1122&lt;&gt;"",1+MAX($A$7:A1121),"")</f>
        <v>390</v>
      </c>
      <c r="B1122" s="140" t="s">
        <v>105</v>
      </c>
      <c r="C1122" s="140" t="s">
        <v>104</v>
      </c>
      <c r="D1122" s="141"/>
      <c r="E1122" s="163" t="s">
        <v>102</v>
      </c>
      <c r="F1122" s="149">
        <f>10.1*4</f>
        <v>40.4</v>
      </c>
      <c r="G1122" s="124">
        <v>0.1</v>
      </c>
      <c r="H1122" s="143">
        <f>F1122*(1+G1122)</f>
        <v>44.440000000000005</v>
      </c>
      <c r="I1122" s="145" t="s">
        <v>15</v>
      </c>
      <c r="J1122" s="37">
        <f>J$148</f>
        <v>0</v>
      </c>
      <c r="K1122" s="159">
        <f>J1122*H1122</f>
        <v>0</v>
      </c>
      <c r="L1122" s="160"/>
    </row>
    <row r="1123" spans="1:12" s="21" customFormat="1" x14ac:dyDescent="0.2">
      <c r="A1123" s="129">
        <f>IF(F1123&lt;&gt;"",1+MAX($A$7:A1122),"")</f>
        <v>391</v>
      </c>
      <c r="B1123" s="140" t="s">
        <v>105</v>
      </c>
      <c r="C1123" s="140" t="s">
        <v>104</v>
      </c>
      <c r="D1123" s="149"/>
      <c r="E1123" s="163" t="s">
        <v>349</v>
      </c>
      <c r="F1123" s="149">
        <f>10.1*9</f>
        <v>90.899999999999991</v>
      </c>
      <c r="G1123" s="124">
        <v>0.1</v>
      </c>
      <c r="H1123" s="143">
        <f>F1123*(1+G1123)</f>
        <v>99.99</v>
      </c>
      <c r="I1123" s="145" t="s">
        <v>18</v>
      </c>
      <c r="J1123" s="37">
        <f>J$276</f>
        <v>0</v>
      </c>
      <c r="K1123" s="159">
        <f>J1123*H1123</f>
        <v>0</v>
      </c>
      <c r="L1123" s="160"/>
    </row>
    <row r="1124" spans="1:12" s="21" customFormat="1" x14ac:dyDescent="0.2">
      <c r="A1124" s="129">
        <f>IF(F1124&lt;&gt;"",1+MAX($A$7:A1123),"")</f>
        <v>392</v>
      </c>
      <c r="B1124" s="140" t="s">
        <v>105</v>
      </c>
      <c r="C1124" s="140" t="s">
        <v>104</v>
      </c>
      <c r="D1124" s="149"/>
      <c r="E1124" s="163" t="s">
        <v>134</v>
      </c>
      <c r="F1124" s="149">
        <f>10.1*9</f>
        <v>90.899999999999991</v>
      </c>
      <c r="G1124" s="124">
        <v>0.1</v>
      </c>
      <c r="H1124" s="143">
        <f>F1124*(1+G1124)</f>
        <v>99.99</v>
      </c>
      <c r="I1124" s="145" t="s">
        <v>18</v>
      </c>
      <c r="J1124" s="37">
        <f>J$442</f>
        <v>0</v>
      </c>
      <c r="K1124" s="159">
        <f>J1124*H1124</f>
        <v>0</v>
      </c>
      <c r="L1124" s="160"/>
    </row>
    <row r="1125" spans="1:12" s="21" customFormat="1" x14ac:dyDescent="0.2">
      <c r="A1125" s="129" t="str">
        <f>IF(F1125&lt;&gt;"",1+MAX($A$7:A1124),"")</f>
        <v/>
      </c>
      <c r="B1125" s="140"/>
      <c r="C1125" s="140"/>
      <c r="D1125" s="141"/>
      <c r="E1125" s="163"/>
      <c r="F1125" s="149"/>
      <c r="G1125" s="124"/>
      <c r="H1125" s="143"/>
      <c r="I1125" s="145"/>
      <c r="J1125" s="37"/>
      <c r="K1125" s="159"/>
      <c r="L1125" s="160"/>
    </row>
    <row r="1126" spans="1:12" s="21" customFormat="1" x14ac:dyDescent="0.2">
      <c r="A1126" s="129" t="str">
        <f>IF(F1126&lt;&gt;"",1+MAX($A$7:A1125),"")</f>
        <v/>
      </c>
      <c r="B1126" s="140"/>
      <c r="C1126" s="140"/>
      <c r="D1126" s="141"/>
      <c r="E1126" s="158" t="s">
        <v>192</v>
      </c>
      <c r="F1126" s="149"/>
      <c r="G1126" s="144"/>
      <c r="H1126" s="143"/>
      <c r="I1126" s="145"/>
      <c r="J1126" s="37"/>
      <c r="K1126" s="159"/>
      <c r="L1126" s="160"/>
    </row>
    <row r="1127" spans="1:12" s="21" customFormat="1" x14ac:dyDescent="0.2">
      <c r="A1127" s="129">
        <f>IF(F1127&lt;&gt;"",1+MAX($A$7:A1126),"")</f>
        <v>393</v>
      </c>
      <c r="B1127" s="140" t="s">
        <v>105</v>
      </c>
      <c r="C1127" s="140" t="s">
        <v>104</v>
      </c>
      <c r="D1127" s="149"/>
      <c r="E1127" s="163" t="s">
        <v>100</v>
      </c>
      <c r="F1127" s="149">
        <f>154.9*9*2+53.5*9+26*9*2</f>
        <v>3737.7000000000003</v>
      </c>
      <c r="G1127" s="124">
        <v>0.1</v>
      </c>
      <c r="H1127" s="143">
        <f>F1127*(1+G1127)</f>
        <v>4111.47</v>
      </c>
      <c r="I1127" s="145" t="s">
        <v>18</v>
      </c>
      <c r="J1127" s="37">
        <f>J$143</f>
        <v>0</v>
      </c>
      <c r="K1127" s="159">
        <f>J1127*H1127</f>
        <v>0</v>
      </c>
      <c r="L1127" s="160"/>
    </row>
    <row r="1128" spans="1:12" s="21" customFormat="1" x14ac:dyDescent="0.2">
      <c r="A1128" s="129" t="str">
        <f>IF(F1128&lt;&gt;"",1+MAX($A$7:A1127),"")</f>
        <v/>
      </c>
      <c r="B1128" s="140"/>
      <c r="C1128" s="140"/>
      <c r="D1128" s="141"/>
      <c r="E1128" s="165" t="s">
        <v>41</v>
      </c>
      <c r="F1128" s="166"/>
      <c r="G1128" s="167"/>
      <c r="H1128" s="143">
        <f>ROUNDUP((H1127)/32,0)</f>
        <v>129</v>
      </c>
      <c r="I1128" s="145" t="s">
        <v>42</v>
      </c>
      <c r="J1128" s="37"/>
      <c r="K1128" s="159"/>
      <c r="L1128" s="160"/>
    </row>
    <row r="1129" spans="1:12" s="21" customFormat="1" x14ac:dyDescent="0.2">
      <c r="A1129" s="129" t="str">
        <f>IF(F1129&lt;&gt;"",1+MAX($A$7:A1128),"")</f>
        <v/>
      </c>
      <c r="B1129" s="140"/>
      <c r="C1129" s="140"/>
      <c r="D1129" s="141"/>
      <c r="E1129" s="165" t="s">
        <v>43</v>
      </c>
      <c r="F1129" s="166"/>
      <c r="G1129" s="167"/>
      <c r="H1129" s="143">
        <f>ROUNDUP(H1128*24/500,0)</f>
        <v>7</v>
      </c>
      <c r="I1129" s="145" t="s">
        <v>44</v>
      </c>
      <c r="J1129" s="37"/>
      <c r="K1129" s="159"/>
      <c r="L1129" s="160"/>
    </row>
    <row r="1130" spans="1:12" s="21" customFormat="1" x14ac:dyDescent="0.2">
      <c r="A1130" s="129" t="str">
        <f>IF(F1130&lt;&gt;"",1+MAX($A$7:A1129),"")</f>
        <v/>
      </c>
      <c r="B1130" s="140"/>
      <c r="C1130" s="140"/>
      <c r="D1130" s="141"/>
      <c r="E1130" s="165" t="s">
        <v>45</v>
      </c>
      <c r="F1130" s="166"/>
      <c r="G1130" s="167"/>
      <c r="H1130" s="168">
        <f>ROUNDUP((H1127)/200,0)</f>
        <v>21</v>
      </c>
      <c r="I1130" s="145" t="s">
        <v>46</v>
      </c>
      <c r="J1130" s="37"/>
      <c r="K1130" s="159"/>
      <c r="L1130" s="160"/>
    </row>
    <row r="1131" spans="1:12" s="21" customFormat="1" x14ac:dyDescent="0.2">
      <c r="A1131" s="129" t="str">
        <f>IF(F1131&lt;&gt;"",1+MAX($A$7:A1130),"")</f>
        <v/>
      </c>
      <c r="B1131" s="140"/>
      <c r="C1131" s="140"/>
      <c r="D1131" s="141"/>
      <c r="E1131" s="165" t="s">
        <v>47</v>
      </c>
      <c r="F1131" s="166"/>
      <c r="G1131" s="167"/>
      <c r="H1131" s="168">
        <f>ROUNDUP((H1127)*5.25/1000,0)</f>
        <v>22</v>
      </c>
      <c r="I1131" s="145" t="s">
        <v>48</v>
      </c>
      <c r="J1131" s="37"/>
      <c r="K1131" s="159"/>
      <c r="L1131" s="160"/>
    </row>
    <row r="1132" spans="1:12" s="21" customFormat="1" x14ac:dyDescent="0.2">
      <c r="A1132" s="129">
        <f>IF(F1132&lt;&gt;"",1+MAX($A$7:A1131),"")</f>
        <v>394</v>
      </c>
      <c r="B1132" s="140" t="s">
        <v>105</v>
      </c>
      <c r="C1132" s="140" t="s">
        <v>104</v>
      </c>
      <c r="D1132" s="149"/>
      <c r="E1132" s="163" t="s">
        <v>101</v>
      </c>
      <c r="F1132" s="149">
        <f>53.5*9</f>
        <v>481.5</v>
      </c>
      <c r="G1132" s="124">
        <v>0.1</v>
      </c>
      <c r="H1132" s="143">
        <f>F1132*(1+G1132)</f>
        <v>529.65000000000009</v>
      </c>
      <c r="I1132" s="145" t="s">
        <v>18</v>
      </c>
      <c r="J1132" s="37">
        <f>J$160</f>
        <v>0</v>
      </c>
      <c r="K1132" s="159">
        <f>J1132*H1132</f>
        <v>0</v>
      </c>
      <c r="L1132" s="160"/>
    </row>
    <row r="1133" spans="1:12" s="21" customFormat="1" x14ac:dyDescent="0.2">
      <c r="A1133" s="129" t="str">
        <f>IF(F1133&lt;&gt;"",1+MAX($A$7:A1132),"")</f>
        <v/>
      </c>
      <c r="B1133" s="140"/>
      <c r="C1133" s="140"/>
      <c r="D1133" s="141"/>
      <c r="E1133" s="165" t="s">
        <v>41</v>
      </c>
      <c r="F1133" s="166"/>
      <c r="G1133" s="167"/>
      <c r="H1133" s="143">
        <f>ROUNDUP((H1132)/32,0)</f>
        <v>17</v>
      </c>
      <c r="I1133" s="145" t="s">
        <v>42</v>
      </c>
      <c r="J1133" s="37"/>
      <c r="K1133" s="159"/>
      <c r="L1133" s="160"/>
    </row>
    <row r="1134" spans="1:12" s="21" customFormat="1" x14ac:dyDescent="0.2">
      <c r="A1134" s="129" t="str">
        <f>IF(F1134&lt;&gt;"",1+MAX($A$7:A1133),"")</f>
        <v/>
      </c>
      <c r="B1134" s="140"/>
      <c r="C1134" s="140"/>
      <c r="D1134" s="141"/>
      <c r="E1134" s="165" t="s">
        <v>43</v>
      </c>
      <c r="F1134" s="166"/>
      <c r="G1134" s="167"/>
      <c r="H1134" s="143">
        <f>ROUNDUP(H1133*24/500,0)</f>
        <v>1</v>
      </c>
      <c r="I1134" s="145" t="s">
        <v>44</v>
      </c>
      <c r="J1134" s="37"/>
      <c r="K1134" s="159"/>
      <c r="L1134" s="160"/>
    </row>
    <row r="1135" spans="1:12" s="21" customFormat="1" x14ac:dyDescent="0.2">
      <c r="A1135" s="129" t="str">
        <f>IF(F1135&lt;&gt;"",1+MAX($A$7:A1134),"")</f>
        <v/>
      </c>
      <c r="B1135" s="140"/>
      <c r="C1135" s="140"/>
      <c r="D1135" s="141"/>
      <c r="E1135" s="165" t="s">
        <v>45</v>
      </c>
      <c r="F1135" s="166"/>
      <c r="G1135" s="167"/>
      <c r="H1135" s="168">
        <f>ROUNDUP((H1132)/200,0)</f>
        <v>3</v>
      </c>
      <c r="I1135" s="145" t="s">
        <v>46</v>
      </c>
      <c r="J1135" s="37"/>
      <c r="K1135" s="159"/>
      <c r="L1135" s="160"/>
    </row>
    <row r="1136" spans="1:12" s="21" customFormat="1" x14ac:dyDescent="0.2">
      <c r="A1136" s="129" t="str">
        <f>IF(F1136&lt;&gt;"",1+MAX($A$7:A1135),"")</f>
        <v/>
      </c>
      <c r="B1136" s="140"/>
      <c r="C1136" s="140"/>
      <c r="D1136" s="141"/>
      <c r="E1136" s="165" t="s">
        <v>47</v>
      </c>
      <c r="F1136" s="166"/>
      <c r="G1136" s="167"/>
      <c r="H1136" s="168">
        <f>ROUNDUP((H1132)*5.25/1000,0)</f>
        <v>3</v>
      </c>
      <c r="I1136" s="145" t="s">
        <v>48</v>
      </c>
      <c r="J1136" s="37"/>
      <c r="K1136" s="159"/>
      <c r="L1136" s="160"/>
    </row>
    <row r="1137" spans="1:12" s="21" customFormat="1" x14ac:dyDescent="0.2">
      <c r="A1137" s="129">
        <f>IF(F1137&lt;&gt;"",1+MAX($A$7:A1136),"")</f>
        <v>395</v>
      </c>
      <c r="B1137" s="140" t="s">
        <v>105</v>
      </c>
      <c r="C1137" s="140" t="s">
        <v>104</v>
      </c>
      <c r="D1137" s="141"/>
      <c r="E1137" s="163" t="s">
        <v>102</v>
      </c>
      <c r="F1137" s="149">
        <f>(208.4+26)*4</f>
        <v>937.6</v>
      </c>
      <c r="G1137" s="124">
        <v>0.1</v>
      </c>
      <c r="H1137" s="143">
        <f>F1137*(1+G1137)</f>
        <v>1031.3600000000001</v>
      </c>
      <c r="I1137" s="145" t="s">
        <v>15</v>
      </c>
      <c r="J1137" s="37">
        <f>J$148</f>
        <v>0</v>
      </c>
      <c r="K1137" s="159">
        <f>J1137*H1137</f>
        <v>0</v>
      </c>
      <c r="L1137" s="160"/>
    </row>
    <row r="1138" spans="1:12" s="21" customFormat="1" x14ac:dyDescent="0.2">
      <c r="A1138" s="129">
        <f>IF(F1138&lt;&gt;"",1+MAX($A$7:A1137),"")</f>
        <v>396</v>
      </c>
      <c r="B1138" s="140" t="s">
        <v>105</v>
      </c>
      <c r="C1138" s="140" t="s">
        <v>104</v>
      </c>
      <c r="D1138" s="149"/>
      <c r="E1138" s="163" t="s">
        <v>111</v>
      </c>
      <c r="F1138" s="149">
        <f>(208.4+26)*9</f>
        <v>2109.6</v>
      </c>
      <c r="G1138" s="124">
        <v>0.1</v>
      </c>
      <c r="H1138" s="143">
        <f>F1138*(1+G1138)</f>
        <v>2320.56</v>
      </c>
      <c r="I1138" s="145" t="s">
        <v>18</v>
      </c>
      <c r="J1138" s="37">
        <f>J$187</f>
        <v>0</v>
      </c>
      <c r="K1138" s="159">
        <f>J1138*H1138</f>
        <v>0</v>
      </c>
      <c r="L1138" s="160"/>
    </row>
    <row r="1139" spans="1:12" s="21" customFormat="1" x14ac:dyDescent="0.2">
      <c r="A1139" s="129">
        <f>IF(F1139&lt;&gt;"",1+MAX($A$7:A1138),"")</f>
        <v>397</v>
      </c>
      <c r="B1139" s="140" t="s">
        <v>105</v>
      </c>
      <c r="C1139" s="140" t="s">
        <v>104</v>
      </c>
      <c r="D1139" s="149"/>
      <c r="E1139" s="163" t="s">
        <v>116</v>
      </c>
      <c r="F1139" s="149">
        <f>(208.4+26)*9</f>
        <v>2109.6</v>
      </c>
      <c r="G1139" s="124">
        <v>0.1</v>
      </c>
      <c r="H1139" s="143">
        <f>F1139*(1+G1139)</f>
        <v>2320.56</v>
      </c>
      <c r="I1139" s="145" t="s">
        <v>18</v>
      </c>
      <c r="J1139" s="37">
        <f>J$202</f>
        <v>0</v>
      </c>
      <c r="K1139" s="159">
        <f>J1139*H1139</f>
        <v>0</v>
      </c>
      <c r="L1139" s="160"/>
    </row>
    <row r="1140" spans="1:12" s="21" customFormat="1" x14ac:dyDescent="0.2">
      <c r="A1140" s="129" t="str">
        <f>IF(F1140&lt;&gt;"",1+MAX($A$7:A1139),"")</f>
        <v/>
      </c>
      <c r="B1140" s="140"/>
      <c r="C1140" s="140"/>
      <c r="D1140" s="141"/>
      <c r="E1140" s="163"/>
      <c r="F1140" s="149"/>
      <c r="G1140" s="124"/>
      <c r="H1140" s="143"/>
      <c r="I1140" s="145"/>
      <c r="J1140" s="37"/>
      <c r="K1140" s="159"/>
      <c r="L1140" s="160"/>
    </row>
    <row r="1141" spans="1:12" s="21" customFormat="1" x14ac:dyDescent="0.2">
      <c r="A1141" s="129" t="str">
        <f>IF(F1141&lt;&gt;"",1+MAX($A$7:A1140),"")</f>
        <v/>
      </c>
      <c r="B1141" s="140"/>
      <c r="C1141" s="140"/>
      <c r="D1141" s="141"/>
      <c r="E1141" s="158" t="s">
        <v>193</v>
      </c>
      <c r="F1141" s="149"/>
      <c r="G1141" s="144"/>
      <c r="H1141" s="143"/>
      <c r="I1141" s="145"/>
      <c r="J1141" s="37"/>
      <c r="K1141" s="159"/>
      <c r="L1141" s="160"/>
    </row>
    <row r="1142" spans="1:12" s="21" customFormat="1" x14ac:dyDescent="0.2">
      <c r="A1142" s="129">
        <f>IF(F1142&lt;&gt;"",1+MAX($A$7:A1141),"")</f>
        <v>398</v>
      </c>
      <c r="B1142" s="140" t="s">
        <v>105</v>
      </c>
      <c r="C1142" s="140" t="s">
        <v>104</v>
      </c>
      <c r="D1142" s="149"/>
      <c r="E1142" s="163" t="s">
        <v>100</v>
      </c>
      <c r="F1142" s="149">
        <f>147.2*9*2</f>
        <v>2649.6</v>
      </c>
      <c r="G1142" s="124">
        <v>0.1</v>
      </c>
      <c r="H1142" s="143">
        <f>F1142*(1+G1142)</f>
        <v>2914.56</v>
      </c>
      <c r="I1142" s="145" t="s">
        <v>18</v>
      </c>
      <c r="J1142" s="37">
        <f>J$143</f>
        <v>0</v>
      </c>
      <c r="K1142" s="159">
        <f>J1142*H1142</f>
        <v>0</v>
      </c>
      <c r="L1142" s="160"/>
    </row>
    <row r="1143" spans="1:12" s="21" customFormat="1" x14ac:dyDescent="0.2">
      <c r="A1143" s="129" t="str">
        <f>IF(F1143&lt;&gt;"",1+MAX($A$7:A1142),"")</f>
        <v/>
      </c>
      <c r="B1143" s="140"/>
      <c r="C1143" s="140"/>
      <c r="D1143" s="141"/>
      <c r="E1143" s="165" t="s">
        <v>41</v>
      </c>
      <c r="F1143" s="166"/>
      <c r="G1143" s="167"/>
      <c r="H1143" s="143">
        <f>ROUNDUP((H1142)/32,0)</f>
        <v>92</v>
      </c>
      <c r="I1143" s="145" t="s">
        <v>42</v>
      </c>
      <c r="J1143" s="37"/>
      <c r="K1143" s="159"/>
      <c r="L1143" s="160"/>
    </row>
    <row r="1144" spans="1:12" s="21" customFormat="1" x14ac:dyDescent="0.2">
      <c r="A1144" s="129" t="str">
        <f>IF(F1144&lt;&gt;"",1+MAX($A$7:A1143),"")</f>
        <v/>
      </c>
      <c r="B1144" s="140"/>
      <c r="C1144" s="140"/>
      <c r="D1144" s="141"/>
      <c r="E1144" s="165" t="s">
        <v>43</v>
      </c>
      <c r="F1144" s="166"/>
      <c r="G1144" s="167"/>
      <c r="H1144" s="143">
        <f>ROUNDUP(H1143*24/500,0)</f>
        <v>5</v>
      </c>
      <c r="I1144" s="145" t="s">
        <v>44</v>
      </c>
      <c r="J1144" s="37"/>
      <c r="K1144" s="159"/>
      <c r="L1144" s="160"/>
    </row>
    <row r="1145" spans="1:12" s="21" customFormat="1" x14ac:dyDescent="0.2">
      <c r="A1145" s="129" t="str">
        <f>IF(F1145&lt;&gt;"",1+MAX($A$7:A1144),"")</f>
        <v/>
      </c>
      <c r="B1145" s="140"/>
      <c r="C1145" s="140"/>
      <c r="D1145" s="141"/>
      <c r="E1145" s="165" t="s">
        <v>45</v>
      </c>
      <c r="F1145" s="166"/>
      <c r="G1145" s="167"/>
      <c r="H1145" s="168">
        <f>ROUNDUP((H1142)/200,0)</f>
        <v>15</v>
      </c>
      <c r="I1145" s="145" t="s">
        <v>46</v>
      </c>
      <c r="J1145" s="37"/>
      <c r="K1145" s="159"/>
      <c r="L1145" s="160"/>
    </row>
    <row r="1146" spans="1:12" s="21" customFormat="1" x14ac:dyDescent="0.2">
      <c r="A1146" s="129" t="str">
        <f>IF(F1146&lt;&gt;"",1+MAX($A$7:A1145),"")</f>
        <v/>
      </c>
      <c r="B1146" s="140"/>
      <c r="C1146" s="140"/>
      <c r="D1146" s="141"/>
      <c r="E1146" s="165" t="s">
        <v>47</v>
      </c>
      <c r="F1146" s="166"/>
      <c r="G1146" s="167"/>
      <c r="H1146" s="168">
        <f>ROUNDUP((H1142)*5.25/1000,0)</f>
        <v>16</v>
      </c>
      <c r="I1146" s="145" t="s">
        <v>48</v>
      </c>
      <c r="J1146" s="37"/>
      <c r="K1146" s="159"/>
      <c r="L1146" s="160"/>
    </row>
    <row r="1147" spans="1:12" s="21" customFormat="1" x14ac:dyDescent="0.2">
      <c r="A1147" s="129">
        <f>IF(F1147&lt;&gt;"",1+MAX($A$7:A1146),"")</f>
        <v>399</v>
      </c>
      <c r="B1147" s="140" t="s">
        <v>105</v>
      </c>
      <c r="C1147" s="140" t="s">
        <v>104</v>
      </c>
      <c r="D1147" s="141"/>
      <c r="E1147" s="163" t="s">
        <v>102</v>
      </c>
      <c r="F1147" s="149">
        <f>147.2*4</f>
        <v>588.79999999999995</v>
      </c>
      <c r="G1147" s="124">
        <v>0.1</v>
      </c>
      <c r="H1147" s="143">
        <f>F1147*(1+G1147)</f>
        <v>647.67999999999995</v>
      </c>
      <c r="I1147" s="145" t="s">
        <v>15</v>
      </c>
      <c r="J1147" s="37">
        <f>J$148</f>
        <v>0</v>
      </c>
      <c r="K1147" s="159">
        <f>J1147*H1147</f>
        <v>0</v>
      </c>
      <c r="L1147" s="160"/>
    </row>
    <row r="1148" spans="1:12" s="21" customFormat="1" x14ac:dyDescent="0.2">
      <c r="A1148" s="129">
        <f>IF(F1148&lt;&gt;"",1+MAX($A$7:A1147),"")</f>
        <v>400</v>
      </c>
      <c r="B1148" s="140" t="s">
        <v>105</v>
      </c>
      <c r="C1148" s="140" t="s">
        <v>104</v>
      </c>
      <c r="D1148" s="149"/>
      <c r="E1148" s="163" t="s">
        <v>111</v>
      </c>
      <c r="F1148" s="149">
        <f>147.2*9</f>
        <v>1324.8</v>
      </c>
      <c r="G1148" s="124">
        <v>0.1</v>
      </c>
      <c r="H1148" s="143">
        <f>F1148*(1+G1148)</f>
        <v>1457.28</v>
      </c>
      <c r="I1148" s="145" t="s">
        <v>18</v>
      </c>
      <c r="J1148" s="37">
        <f>J$187</f>
        <v>0</v>
      </c>
      <c r="K1148" s="159">
        <f>J1148*H1148</f>
        <v>0</v>
      </c>
      <c r="L1148" s="160"/>
    </row>
    <row r="1149" spans="1:12" s="21" customFormat="1" x14ac:dyDescent="0.2">
      <c r="A1149" s="129">
        <f>IF(F1149&lt;&gt;"",1+MAX($A$7:A1148),"")</f>
        <v>401</v>
      </c>
      <c r="B1149" s="140" t="s">
        <v>105</v>
      </c>
      <c r="C1149" s="140" t="s">
        <v>104</v>
      </c>
      <c r="D1149" s="149"/>
      <c r="E1149" s="163" t="s">
        <v>116</v>
      </c>
      <c r="F1149" s="149">
        <f>147.2*9</f>
        <v>1324.8</v>
      </c>
      <c r="G1149" s="124">
        <v>0.1</v>
      </c>
      <c r="H1149" s="143">
        <f>F1149*(1+G1149)</f>
        <v>1457.28</v>
      </c>
      <c r="I1149" s="145" t="s">
        <v>18</v>
      </c>
      <c r="J1149" s="37">
        <f>J$202</f>
        <v>0</v>
      </c>
      <c r="K1149" s="159">
        <f>J1149*H1149</f>
        <v>0</v>
      </c>
      <c r="L1149" s="160"/>
    </row>
    <row r="1150" spans="1:12" s="21" customFormat="1" x14ac:dyDescent="0.2">
      <c r="A1150" s="129" t="str">
        <f>IF(F1150&lt;&gt;"",1+MAX($A$7:A1149),"")</f>
        <v/>
      </c>
      <c r="B1150" s="140"/>
      <c r="C1150" s="140"/>
      <c r="D1150" s="141"/>
      <c r="E1150" s="163"/>
      <c r="F1150" s="149"/>
      <c r="G1150" s="124"/>
      <c r="H1150" s="143"/>
      <c r="I1150" s="145"/>
      <c r="J1150" s="37"/>
      <c r="K1150" s="159"/>
      <c r="L1150" s="160"/>
    </row>
    <row r="1151" spans="1:12" s="21" customFormat="1" x14ac:dyDescent="0.2">
      <c r="A1151" s="129" t="str">
        <f>IF(F1151&lt;&gt;"",1+MAX($A$7:A1150),"")</f>
        <v/>
      </c>
      <c r="B1151" s="140"/>
      <c r="C1151" s="140"/>
      <c r="D1151" s="141"/>
      <c r="E1151" s="158" t="s">
        <v>117</v>
      </c>
      <c r="F1151" s="149"/>
      <c r="G1151" s="144"/>
      <c r="H1151" s="143"/>
      <c r="I1151" s="145"/>
      <c r="J1151" s="37"/>
      <c r="K1151" s="159"/>
      <c r="L1151" s="160"/>
    </row>
    <row r="1152" spans="1:12" s="21" customFormat="1" x14ac:dyDescent="0.2">
      <c r="A1152" s="129">
        <f>IF(F1152&lt;&gt;"",1+MAX($A$7:A1151),"")</f>
        <v>402</v>
      </c>
      <c r="B1152" s="140" t="s">
        <v>105</v>
      </c>
      <c r="C1152" s="140" t="s">
        <v>104</v>
      </c>
      <c r="D1152" s="149"/>
      <c r="E1152" s="163" t="s">
        <v>115</v>
      </c>
      <c r="F1152" s="149">
        <f>182.9*9</f>
        <v>1646.1000000000001</v>
      </c>
      <c r="G1152" s="124">
        <v>0.1</v>
      </c>
      <c r="H1152" s="143">
        <f>F1152*(1+G1152)</f>
        <v>1810.7100000000003</v>
      </c>
      <c r="I1152" s="145" t="s">
        <v>18</v>
      </c>
      <c r="J1152" s="37">
        <f>J$143</f>
        <v>0</v>
      </c>
      <c r="K1152" s="159">
        <f>J1152*H1152</f>
        <v>0</v>
      </c>
      <c r="L1152" s="160"/>
    </row>
    <row r="1153" spans="1:12" s="21" customFormat="1" x14ac:dyDescent="0.2">
      <c r="A1153" s="129" t="str">
        <f>IF(F1153&lt;&gt;"",1+MAX($A$7:A1152),"")</f>
        <v/>
      </c>
      <c r="B1153" s="140"/>
      <c r="C1153" s="140"/>
      <c r="D1153" s="141"/>
      <c r="E1153" s="165" t="s">
        <v>41</v>
      </c>
      <c r="F1153" s="166"/>
      <c r="G1153" s="167"/>
      <c r="H1153" s="143">
        <f>ROUNDUP((H1152)/32,0)</f>
        <v>57</v>
      </c>
      <c r="I1153" s="145" t="s">
        <v>42</v>
      </c>
      <c r="J1153" s="37"/>
      <c r="K1153" s="159"/>
      <c r="L1153" s="160"/>
    </row>
    <row r="1154" spans="1:12" s="21" customFormat="1" x14ac:dyDescent="0.2">
      <c r="A1154" s="129" t="str">
        <f>IF(F1154&lt;&gt;"",1+MAX($A$7:A1153),"")</f>
        <v/>
      </c>
      <c r="B1154" s="140"/>
      <c r="C1154" s="140"/>
      <c r="D1154" s="141"/>
      <c r="E1154" s="165" t="s">
        <v>43</v>
      </c>
      <c r="F1154" s="166"/>
      <c r="G1154" s="167"/>
      <c r="H1154" s="143">
        <f>ROUNDUP(H1153*24/500,0)</f>
        <v>3</v>
      </c>
      <c r="I1154" s="145" t="s">
        <v>44</v>
      </c>
      <c r="J1154" s="37"/>
      <c r="K1154" s="159"/>
      <c r="L1154" s="160"/>
    </row>
    <row r="1155" spans="1:12" s="21" customFormat="1" x14ac:dyDescent="0.2">
      <c r="A1155" s="129" t="str">
        <f>IF(F1155&lt;&gt;"",1+MAX($A$7:A1154),"")</f>
        <v/>
      </c>
      <c r="B1155" s="140"/>
      <c r="C1155" s="140"/>
      <c r="D1155" s="141"/>
      <c r="E1155" s="165" t="s">
        <v>45</v>
      </c>
      <c r="F1155" s="166"/>
      <c r="G1155" s="167"/>
      <c r="H1155" s="168">
        <f>ROUNDUP((H1152)/200,0)</f>
        <v>10</v>
      </c>
      <c r="I1155" s="145" t="s">
        <v>46</v>
      </c>
      <c r="J1155" s="37"/>
      <c r="K1155" s="159"/>
      <c r="L1155" s="160"/>
    </row>
    <row r="1156" spans="1:12" s="21" customFormat="1" x14ac:dyDescent="0.2">
      <c r="A1156" s="129" t="str">
        <f>IF(F1156&lt;&gt;"",1+MAX($A$7:A1155),"")</f>
        <v/>
      </c>
      <c r="B1156" s="140"/>
      <c r="C1156" s="140"/>
      <c r="D1156" s="141"/>
      <c r="E1156" s="165" t="s">
        <v>47</v>
      </c>
      <c r="F1156" s="166"/>
      <c r="G1156" s="167"/>
      <c r="H1156" s="168">
        <f>ROUNDUP((H1152)*5.25/1000,0)</f>
        <v>10</v>
      </c>
      <c r="I1156" s="145" t="s">
        <v>48</v>
      </c>
      <c r="J1156" s="37"/>
      <c r="K1156" s="159"/>
      <c r="L1156" s="160"/>
    </row>
    <row r="1157" spans="1:12" s="21" customFormat="1" x14ac:dyDescent="0.2">
      <c r="A1157" s="129">
        <f>IF(F1157&lt;&gt;"",1+MAX($A$7:A1156),"")</f>
        <v>403</v>
      </c>
      <c r="B1157" s="140" t="s">
        <v>105</v>
      </c>
      <c r="C1157" s="140" t="s">
        <v>104</v>
      </c>
      <c r="D1157" s="149"/>
      <c r="E1157" s="163" t="s">
        <v>101</v>
      </c>
      <c r="F1157" s="149">
        <f>63*9</f>
        <v>567</v>
      </c>
      <c r="G1157" s="124">
        <v>0.1</v>
      </c>
      <c r="H1157" s="143">
        <f>F1157*(1+G1157)</f>
        <v>623.70000000000005</v>
      </c>
      <c r="I1157" s="145" t="s">
        <v>18</v>
      </c>
      <c r="J1157" s="37">
        <f>J$160</f>
        <v>0</v>
      </c>
      <c r="K1157" s="159">
        <f>J1157*H1157</f>
        <v>0</v>
      </c>
      <c r="L1157" s="160"/>
    </row>
    <row r="1158" spans="1:12" s="21" customFormat="1" x14ac:dyDescent="0.2">
      <c r="A1158" s="129" t="str">
        <f>IF(F1158&lt;&gt;"",1+MAX($A$7:A1157),"")</f>
        <v/>
      </c>
      <c r="B1158" s="140"/>
      <c r="C1158" s="140"/>
      <c r="D1158" s="141"/>
      <c r="E1158" s="165" t="s">
        <v>41</v>
      </c>
      <c r="F1158" s="166"/>
      <c r="G1158" s="167"/>
      <c r="H1158" s="143">
        <f>ROUNDUP((H1157)/32,0)</f>
        <v>20</v>
      </c>
      <c r="I1158" s="145" t="s">
        <v>42</v>
      </c>
      <c r="J1158" s="37"/>
      <c r="K1158" s="159"/>
      <c r="L1158" s="160"/>
    </row>
    <row r="1159" spans="1:12" s="21" customFormat="1" x14ac:dyDescent="0.2">
      <c r="A1159" s="129" t="str">
        <f>IF(F1159&lt;&gt;"",1+MAX($A$7:A1158),"")</f>
        <v/>
      </c>
      <c r="B1159" s="140"/>
      <c r="C1159" s="140"/>
      <c r="D1159" s="141"/>
      <c r="E1159" s="165" t="s">
        <v>43</v>
      </c>
      <c r="F1159" s="166"/>
      <c r="G1159" s="167"/>
      <c r="H1159" s="143">
        <f>ROUNDUP(H1158*24/500,0)</f>
        <v>1</v>
      </c>
      <c r="I1159" s="145" t="s">
        <v>44</v>
      </c>
      <c r="J1159" s="37"/>
      <c r="K1159" s="159"/>
      <c r="L1159" s="160"/>
    </row>
    <row r="1160" spans="1:12" s="21" customFormat="1" x14ac:dyDescent="0.2">
      <c r="A1160" s="129" t="str">
        <f>IF(F1160&lt;&gt;"",1+MAX($A$7:A1159),"")</f>
        <v/>
      </c>
      <c r="B1160" s="140"/>
      <c r="C1160" s="140"/>
      <c r="D1160" s="141"/>
      <c r="E1160" s="165" t="s">
        <v>45</v>
      </c>
      <c r="F1160" s="166"/>
      <c r="G1160" s="167"/>
      <c r="H1160" s="168">
        <f>ROUNDUP((H1157)/200,0)</f>
        <v>4</v>
      </c>
      <c r="I1160" s="145" t="s">
        <v>46</v>
      </c>
      <c r="J1160" s="37"/>
      <c r="K1160" s="159"/>
      <c r="L1160" s="160"/>
    </row>
    <row r="1161" spans="1:12" s="21" customFormat="1" x14ac:dyDescent="0.2">
      <c r="A1161" s="129" t="str">
        <f>IF(F1161&lt;&gt;"",1+MAX($A$7:A1160),"")</f>
        <v/>
      </c>
      <c r="B1161" s="140"/>
      <c r="C1161" s="140"/>
      <c r="D1161" s="141"/>
      <c r="E1161" s="165" t="s">
        <v>47</v>
      </c>
      <c r="F1161" s="166"/>
      <c r="G1161" s="167"/>
      <c r="H1161" s="168">
        <f>ROUNDUP((H1157)*5.25/1000,0)</f>
        <v>4</v>
      </c>
      <c r="I1161" s="145" t="s">
        <v>48</v>
      </c>
      <c r="J1161" s="37"/>
      <c r="K1161" s="159"/>
      <c r="L1161" s="160"/>
    </row>
    <row r="1162" spans="1:12" s="21" customFormat="1" x14ac:dyDescent="0.2">
      <c r="A1162" s="129">
        <f>IF(F1162&lt;&gt;"",1+MAX($A$7:A1161),"")</f>
        <v>404</v>
      </c>
      <c r="B1162" s="140" t="s">
        <v>105</v>
      </c>
      <c r="C1162" s="140" t="s">
        <v>104</v>
      </c>
      <c r="D1162" s="141"/>
      <c r="E1162" s="163" t="s">
        <v>102</v>
      </c>
      <c r="F1162" s="149">
        <f>245.9*2</f>
        <v>491.8</v>
      </c>
      <c r="G1162" s="124">
        <v>0.1</v>
      </c>
      <c r="H1162" s="143">
        <f>F1162*(1+G1162)</f>
        <v>540.98</v>
      </c>
      <c r="I1162" s="145" t="s">
        <v>15</v>
      </c>
      <c r="J1162" s="37">
        <f>J$148</f>
        <v>0</v>
      </c>
      <c r="K1162" s="159">
        <f>J1162*H1162</f>
        <v>0</v>
      </c>
      <c r="L1162" s="160"/>
    </row>
    <row r="1163" spans="1:12" s="21" customFormat="1" x14ac:dyDescent="0.2">
      <c r="A1163" s="129">
        <f>IF(F1163&lt;&gt;"",1+MAX($A$7:A1162),"")</f>
        <v>405</v>
      </c>
      <c r="B1163" s="140" t="s">
        <v>105</v>
      </c>
      <c r="C1163" s="140" t="s">
        <v>104</v>
      </c>
      <c r="D1163" s="149"/>
      <c r="E1163" s="163" t="s">
        <v>349</v>
      </c>
      <c r="F1163" s="149">
        <f>245.9*9</f>
        <v>2213.1</v>
      </c>
      <c r="G1163" s="124">
        <v>0.1</v>
      </c>
      <c r="H1163" s="143">
        <f>F1163*(1+G1163)</f>
        <v>2434.4100000000003</v>
      </c>
      <c r="I1163" s="145" t="s">
        <v>18</v>
      </c>
      <c r="J1163" s="37">
        <f>J$276</f>
        <v>0</v>
      </c>
      <c r="K1163" s="159">
        <f>J1163*H1163</f>
        <v>0</v>
      </c>
      <c r="L1163" s="160"/>
    </row>
    <row r="1164" spans="1:12" s="21" customFormat="1" x14ac:dyDescent="0.2">
      <c r="A1164" s="129">
        <f>IF(F1164&lt;&gt;"",1+MAX($A$7:A1163),"")</f>
        <v>406</v>
      </c>
      <c r="B1164" s="140" t="s">
        <v>105</v>
      </c>
      <c r="C1164" s="140" t="s">
        <v>104</v>
      </c>
      <c r="D1164" s="149"/>
      <c r="E1164" s="163" t="s">
        <v>116</v>
      </c>
      <c r="F1164" s="149">
        <f>245.9*9</f>
        <v>2213.1</v>
      </c>
      <c r="G1164" s="124">
        <v>0.1</v>
      </c>
      <c r="H1164" s="143">
        <f>F1164*(1+G1164)</f>
        <v>2434.4100000000003</v>
      </c>
      <c r="I1164" s="145" t="s">
        <v>18</v>
      </c>
      <c r="J1164" s="37">
        <f>J$202</f>
        <v>0</v>
      </c>
      <c r="K1164" s="159">
        <f>J1164*H1164</f>
        <v>0</v>
      </c>
      <c r="L1164" s="160"/>
    </row>
    <row r="1165" spans="1:12" s="21" customFormat="1" x14ac:dyDescent="0.2">
      <c r="A1165" s="129" t="str">
        <f>IF(F1165&lt;&gt;"",1+MAX($A$7:A1164),"")</f>
        <v/>
      </c>
      <c r="B1165" s="140"/>
      <c r="C1165" s="140"/>
      <c r="D1165" s="141"/>
      <c r="E1165" s="163"/>
      <c r="F1165" s="149"/>
      <c r="G1165" s="124"/>
      <c r="H1165" s="143"/>
      <c r="I1165" s="145"/>
      <c r="J1165" s="37"/>
      <c r="K1165" s="159"/>
      <c r="L1165" s="160"/>
    </row>
    <row r="1166" spans="1:12" s="21" customFormat="1" x14ac:dyDescent="0.2">
      <c r="A1166" s="129" t="str">
        <f>IF(F1166&lt;&gt;"",1+MAX($A$7:A1165),"")</f>
        <v/>
      </c>
      <c r="B1166" s="140"/>
      <c r="C1166" s="140"/>
      <c r="D1166" s="141"/>
      <c r="E1166" s="158" t="s">
        <v>194</v>
      </c>
      <c r="F1166" s="149"/>
      <c r="G1166" s="144"/>
      <c r="H1166" s="143"/>
      <c r="I1166" s="145"/>
      <c r="J1166" s="37"/>
      <c r="K1166" s="159"/>
      <c r="L1166" s="160"/>
    </row>
    <row r="1167" spans="1:12" s="21" customFormat="1" x14ac:dyDescent="0.2">
      <c r="A1167" s="129">
        <f>IF(F1167&lt;&gt;"",1+MAX($A$7:A1166),"")</f>
        <v>407</v>
      </c>
      <c r="B1167" s="140" t="s">
        <v>105</v>
      </c>
      <c r="C1167" s="140" t="s">
        <v>104</v>
      </c>
      <c r="D1167" s="149"/>
      <c r="E1167" s="163" t="s">
        <v>100</v>
      </c>
      <c r="F1167" s="149">
        <f>25*9</f>
        <v>225</v>
      </c>
      <c r="G1167" s="124">
        <v>0.1</v>
      </c>
      <c r="H1167" s="143">
        <f>F1167*(1+G1167)</f>
        <v>247.50000000000003</v>
      </c>
      <c r="I1167" s="145" t="s">
        <v>18</v>
      </c>
      <c r="J1167" s="37">
        <f>J$143</f>
        <v>0</v>
      </c>
      <c r="K1167" s="159">
        <f>J1167*H1167</f>
        <v>0</v>
      </c>
      <c r="L1167" s="160"/>
    </row>
    <row r="1168" spans="1:12" s="21" customFormat="1" x14ac:dyDescent="0.2">
      <c r="A1168" s="129" t="str">
        <f>IF(F1168&lt;&gt;"",1+MAX($A$7:A1167),"")</f>
        <v/>
      </c>
      <c r="B1168" s="140"/>
      <c r="C1168" s="140"/>
      <c r="D1168" s="141"/>
      <c r="E1168" s="165" t="s">
        <v>41</v>
      </c>
      <c r="F1168" s="166"/>
      <c r="G1168" s="167"/>
      <c r="H1168" s="143">
        <f>ROUNDUP((H1167)/32,0)</f>
        <v>8</v>
      </c>
      <c r="I1168" s="145" t="s">
        <v>42</v>
      </c>
      <c r="J1168" s="37"/>
      <c r="K1168" s="159"/>
      <c r="L1168" s="160"/>
    </row>
    <row r="1169" spans="1:12" s="21" customFormat="1" x14ac:dyDescent="0.2">
      <c r="A1169" s="129" t="str">
        <f>IF(F1169&lt;&gt;"",1+MAX($A$7:A1168),"")</f>
        <v/>
      </c>
      <c r="B1169" s="140"/>
      <c r="C1169" s="140"/>
      <c r="D1169" s="141"/>
      <c r="E1169" s="165" t="s">
        <v>43</v>
      </c>
      <c r="F1169" s="166"/>
      <c r="G1169" s="167"/>
      <c r="H1169" s="143">
        <f>ROUNDUP(H1168*24/500,0)</f>
        <v>1</v>
      </c>
      <c r="I1169" s="145" t="s">
        <v>44</v>
      </c>
      <c r="J1169" s="37"/>
      <c r="K1169" s="159"/>
      <c r="L1169" s="160"/>
    </row>
    <row r="1170" spans="1:12" s="21" customFormat="1" x14ac:dyDescent="0.2">
      <c r="A1170" s="129" t="str">
        <f>IF(F1170&lt;&gt;"",1+MAX($A$7:A1169),"")</f>
        <v/>
      </c>
      <c r="B1170" s="140"/>
      <c r="C1170" s="140"/>
      <c r="D1170" s="141"/>
      <c r="E1170" s="165" t="s">
        <v>45</v>
      </c>
      <c r="F1170" s="166"/>
      <c r="G1170" s="167"/>
      <c r="H1170" s="168">
        <f>ROUNDUP((H1167)/200,0)</f>
        <v>2</v>
      </c>
      <c r="I1170" s="145" t="s">
        <v>46</v>
      </c>
      <c r="J1170" s="37"/>
      <c r="K1170" s="159"/>
      <c r="L1170" s="160"/>
    </row>
    <row r="1171" spans="1:12" s="21" customFormat="1" x14ac:dyDescent="0.2">
      <c r="A1171" s="129" t="str">
        <f>IF(F1171&lt;&gt;"",1+MAX($A$7:A1170),"")</f>
        <v/>
      </c>
      <c r="B1171" s="140"/>
      <c r="C1171" s="140"/>
      <c r="D1171" s="141"/>
      <c r="E1171" s="165" t="s">
        <v>47</v>
      </c>
      <c r="F1171" s="166"/>
      <c r="G1171" s="167"/>
      <c r="H1171" s="168">
        <f>ROUNDUP((H1167)*5.25/1000,0)</f>
        <v>2</v>
      </c>
      <c r="I1171" s="145" t="s">
        <v>48</v>
      </c>
      <c r="J1171" s="37"/>
      <c r="K1171" s="159"/>
      <c r="L1171" s="160"/>
    </row>
    <row r="1172" spans="1:12" s="21" customFormat="1" x14ac:dyDescent="0.2">
      <c r="A1172" s="129">
        <f>IF(F1172&lt;&gt;"",1+MAX($A$7:A1171),"")</f>
        <v>408</v>
      </c>
      <c r="B1172" s="140" t="s">
        <v>105</v>
      </c>
      <c r="C1172" s="140" t="s">
        <v>104</v>
      </c>
      <c r="D1172" s="149"/>
      <c r="E1172" s="163" t="s">
        <v>101</v>
      </c>
      <c r="F1172" s="149">
        <f>25*9</f>
        <v>225</v>
      </c>
      <c r="G1172" s="124">
        <v>0.1</v>
      </c>
      <c r="H1172" s="143">
        <f>F1172*(1+G1172)</f>
        <v>247.50000000000003</v>
      </c>
      <c r="I1172" s="145" t="s">
        <v>18</v>
      </c>
      <c r="J1172" s="37">
        <f>J$160</f>
        <v>0</v>
      </c>
      <c r="K1172" s="159">
        <f>J1172*H1172</f>
        <v>0</v>
      </c>
      <c r="L1172" s="160"/>
    </row>
    <row r="1173" spans="1:12" s="21" customFormat="1" x14ac:dyDescent="0.2">
      <c r="A1173" s="129" t="str">
        <f>IF(F1173&lt;&gt;"",1+MAX($A$7:A1172),"")</f>
        <v/>
      </c>
      <c r="B1173" s="140"/>
      <c r="C1173" s="140"/>
      <c r="D1173" s="141"/>
      <c r="E1173" s="165" t="s">
        <v>41</v>
      </c>
      <c r="F1173" s="166"/>
      <c r="G1173" s="167"/>
      <c r="H1173" s="143">
        <f>ROUNDUP((H1172)/32,0)</f>
        <v>8</v>
      </c>
      <c r="I1173" s="145" t="s">
        <v>42</v>
      </c>
      <c r="J1173" s="37"/>
      <c r="K1173" s="159"/>
      <c r="L1173" s="160"/>
    </row>
    <row r="1174" spans="1:12" s="21" customFormat="1" x14ac:dyDescent="0.2">
      <c r="A1174" s="129" t="str">
        <f>IF(F1174&lt;&gt;"",1+MAX($A$7:A1173),"")</f>
        <v/>
      </c>
      <c r="B1174" s="140"/>
      <c r="C1174" s="140"/>
      <c r="D1174" s="141"/>
      <c r="E1174" s="165" t="s">
        <v>43</v>
      </c>
      <c r="F1174" s="166"/>
      <c r="G1174" s="167"/>
      <c r="H1174" s="143">
        <f>ROUNDUP(H1173*24/500,0)</f>
        <v>1</v>
      </c>
      <c r="I1174" s="145" t="s">
        <v>44</v>
      </c>
      <c r="J1174" s="37"/>
      <c r="K1174" s="159"/>
      <c r="L1174" s="160"/>
    </row>
    <row r="1175" spans="1:12" s="21" customFormat="1" x14ac:dyDescent="0.2">
      <c r="A1175" s="129" t="str">
        <f>IF(F1175&lt;&gt;"",1+MAX($A$7:A1174),"")</f>
        <v/>
      </c>
      <c r="B1175" s="140"/>
      <c r="C1175" s="140"/>
      <c r="D1175" s="141"/>
      <c r="E1175" s="165" t="s">
        <v>45</v>
      </c>
      <c r="F1175" s="166"/>
      <c r="G1175" s="167"/>
      <c r="H1175" s="168">
        <f>ROUNDUP((H1172)/200,0)</f>
        <v>2</v>
      </c>
      <c r="I1175" s="145" t="s">
        <v>46</v>
      </c>
      <c r="J1175" s="37"/>
      <c r="K1175" s="159"/>
      <c r="L1175" s="160"/>
    </row>
    <row r="1176" spans="1:12" s="21" customFormat="1" x14ac:dyDescent="0.2">
      <c r="A1176" s="129" t="str">
        <f>IF(F1176&lt;&gt;"",1+MAX($A$7:A1175),"")</f>
        <v/>
      </c>
      <c r="B1176" s="140"/>
      <c r="C1176" s="140"/>
      <c r="D1176" s="141"/>
      <c r="E1176" s="165" t="s">
        <v>47</v>
      </c>
      <c r="F1176" s="166"/>
      <c r="G1176" s="167"/>
      <c r="H1176" s="168">
        <f>ROUNDUP((H1172)*5.25/1000,0)</f>
        <v>2</v>
      </c>
      <c r="I1176" s="145" t="s">
        <v>48</v>
      </c>
      <c r="J1176" s="37"/>
      <c r="K1176" s="159"/>
      <c r="L1176" s="160"/>
    </row>
    <row r="1177" spans="1:12" s="21" customFormat="1" x14ac:dyDescent="0.2">
      <c r="A1177" s="129">
        <f>IF(F1177&lt;&gt;"",1+MAX($A$7:A1176),"")</f>
        <v>409</v>
      </c>
      <c r="B1177" s="140" t="s">
        <v>105</v>
      </c>
      <c r="C1177" s="140" t="s">
        <v>104</v>
      </c>
      <c r="D1177" s="141"/>
      <c r="E1177" s="163" t="s">
        <v>102</v>
      </c>
      <c r="F1177" s="149">
        <f>25*4</f>
        <v>100</v>
      </c>
      <c r="G1177" s="124">
        <v>0.1</v>
      </c>
      <c r="H1177" s="143">
        <f>F1177*(1+G1177)</f>
        <v>110.00000000000001</v>
      </c>
      <c r="I1177" s="145" t="s">
        <v>15</v>
      </c>
      <c r="J1177" s="37">
        <f>J$148</f>
        <v>0</v>
      </c>
      <c r="K1177" s="159">
        <f>J1177*H1177</f>
        <v>0</v>
      </c>
      <c r="L1177" s="160"/>
    </row>
    <row r="1178" spans="1:12" s="21" customFormat="1" x14ac:dyDescent="0.2">
      <c r="A1178" s="129">
        <f>IF(F1178&lt;&gt;"",1+MAX($A$7:A1177),"")</f>
        <v>410</v>
      </c>
      <c r="B1178" s="140" t="s">
        <v>105</v>
      </c>
      <c r="C1178" s="140" t="s">
        <v>104</v>
      </c>
      <c r="D1178" s="149"/>
      <c r="E1178" s="163" t="s">
        <v>112</v>
      </c>
      <c r="F1178" s="149">
        <f t="shared" ref="F1178:F1179" si="78">25*9</f>
        <v>225</v>
      </c>
      <c r="G1178" s="124">
        <v>0.1</v>
      </c>
      <c r="H1178" s="143">
        <f>F1178*(1+G1178)</f>
        <v>247.50000000000003</v>
      </c>
      <c r="I1178" s="145" t="s">
        <v>18</v>
      </c>
      <c r="J1178" s="37">
        <f>J$226</f>
        <v>0</v>
      </c>
      <c r="K1178" s="159">
        <f>J1178*H1178</f>
        <v>0</v>
      </c>
      <c r="L1178" s="160"/>
    </row>
    <row r="1179" spans="1:12" s="21" customFormat="1" x14ac:dyDescent="0.2">
      <c r="A1179" s="129">
        <f>IF(F1179&lt;&gt;"",1+MAX($A$7:A1178),"")</f>
        <v>411</v>
      </c>
      <c r="B1179" s="140" t="s">
        <v>105</v>
      </c>
      <c r="C1179" s="140" t="s">
        <v>104</v>
      </c>
      <c r="D1179" s="149"/>
      <c r="E1179" s="163" t="s">
        <v>116</v>
      </c>
      <c r="F1179" s="149">
        <f t="shared" si="78"/>
        <v>225</v>
      </c>
      <c r="G1179" s="124">
        <v>0.1</v>
      </c>
      <c r="H1179" s="143">
        <f>F1179*(1+G1179)</f>
        <v>247.50000000000003</v>
      </c>
      <c r="I1179" s="145" t="s">
        <v>18</v>
      </c>
      <c r="J1179" s="37">
        <f>J$202</f>
        <v>0</v>
      </c>
      <c r="K1179" s="159">
        <f>J1179*H1179</f>
        <v>0</v>
      </c>
      <c r="L1179" s="160"/>
    </row>
    <row r="1180" spans="1:12" s="21" customFormat="1" x14ac:dyDescent="0.2">
      <c r="A1180" s="129" t="str">
        <f>IF(F1180&lt;&gt;"",1+MAX($A$7:A1179),"")</f>
        <v/>
      </c>
      <c r="B1180" s="140"/>
      <c r="C1180" s="140"/>
      <c r="D1180" s="141"/>
      <c r="E1180" s="163"/>
      <c r="F1180" s="149"/>
      <c r="G1180" s="124"/>
      <c r="H1180" s="143"/>
      <c r="I1180" s="145"/>
      <c r="J1180" s="37"/>
      <c r="K1180" s="159"/>
      <c r="L1180" s="160"/>
    </row>
    <row r="1181" spans="1:12" s="21" customFormat="1" x14ac:dyDescent="0.2">
      <c r="A1181" s="129" t="str">
        <f>IF(F1181&lt;&gt;"",1+MAX($A$7:A1180),"")</f>
        <v/>
      </c>
      <c r="B1181" s="140"/>
      <c r="C1181" s="140"/>
      <c r="D1181" s="141"/>
      <c r="E1181" s="158" t="s">
        <v>195</v>
      </c>
      <c r="F1181" s="149"/>
      <c r="G1181" s="144"/>
      <c r="H1181" s="143"/>
      <c r="I1181" s="145"/>
      <c r="J1181" s="37"/>
      <c r="K1181" s="159"/>
      <c r="L1181" s="160"/>
    </row>
    <row r="1182" spans="1:12" s="21" customFormat="1" ht="31.5" x14ac:dyDescent="0.2">
      <c r="A1182" s="129">
        <f>IF(F1182&lt;&gt;"",1+MAX($A$7:A1181),"")</f>
        <v>412</v>
      </c>
      <c r="B1182" s="140" t="s">
        <v>105</v>
      </c>
      <c r="C1182" s="140" t="s">
        <v>104</v>
      </c>
      <c r="D1182" s="149"/>
      <c r="E1182" s="163" t="s">
        <v>197</v>
      </c>
      <c r="F1182" s="149">
        <f>56*9*2</f>
        <v>1008</v>
      </c>
      <c r="G1182" s="124">
        <v>0.1</v>
      </c>
      <c r="H1182" s="143">
        <f>F1182*(1+G1182)</f>
        <v>1108.8000000000002</v>
      </c>
      <c r="I1182" s="145" t="s">
        <v>18</v>
      </c>
      <c r="J1182" s="37">
        <f>J$160</f>
        <v>0</v>
      </c>
      <c r="K1182" s="159">
        <f>J1182*H1182</f>
        <v>0</v>
      </c>
      <c r="L1182" s="160"/>
    </row>
    <row r="1183" spans="1:12" s="21" customFormat="1" x14ac:dyDescent="0.2">
      <c r="A1183" s="129" t="str">
        <f>IF(F1183&lt;&gt;"",1+MAX($A$7:A1182),"")</f>
        <v/>
      </c>
      <c r="B1183" s="140"/>
      <c r="C1183" s="140"/>
      <c r="D1183" s="141"/>
      <c r="E1183" s="165" t="s">
        <v>41</v>
      </c>
      <c r="F1183" s="166"/>
      <c r="G1183" s="167"/>
      <c r="H1183" s="143">
        <f>ROUNDUP((H1182)/32,0)</f>
        <v>35</v>
      </c>
      <c r="I1183" s="145" t="s">
        <v>42</v>
      </c>
      <c r="J1183" s="37"/>
      <c r="K1183" s="159"/>
      <c r="L1183" s="160"/>
    </row>
    <row r="1184" spans="1:12" s="21" customFormat="1" x14ac:dyDescent="0.2">
      <c r="A1184" s="129" t="str">
        <f>IF(F1184&lt;&gt;"",1+MAX($A$7:A1183),"")</f>
        <v/>
      </c>
      <c r="B1184" s="140"/>
      <c r="C1184" s="140"/>
      <c r="D1184" s="141"/>
      <c r="E1184" s="165" t="s">
        <v>43</v>
      </c>
      <c r="F1184" s="166"/>
      <c r="G1184" s="167"/>
      <c r="H1184" s="143">
        <f>ROUNDUP(H1183*24/500,0)</f>
        <v>2</v>
      </c>
      <c r="I1184" s="145" t="s">
        <v>44</v>
      </c>
      <c r="J1184" s="37"/>
      <c r="K1184" s="159"/>
      <c r="L1184" s="160"/>
    </row>
    <row r="1185" spans="1:12" s="21" customFormat="1" x14ac:dyDescent="0.2">
      <c r="A1185" s="129" t="str">
        <f>IF(F1185&lt;&gt;"",1+MAX($A$7:A1184),"")</f>
        <v/>
      </c>
      <c r="B1185" s="140"/>
      <c r="C1185" s="140"/>
      <c r="D1185" s="141"/>
      <c r="E1185" s="165" t="s">
        <v>45</v>
      </c>
      <c r="F1185" s="166"/>
      <c r="G1185" s="167"/>
      <c r="H1185" s="168">
        <f>ROUNDUP((H1182)/200,0)</f>
        <v>6</v>
      </c>
      <c r="I1185" s="145" t="s">
        <v>46</v>
      </c>
      <c r="J1185" s="37"/>
      <c r="K1185" s="159"/>
      <c r="L1185" s="160"/>
    </row>
    <row r="1186" spans="1:12" s="21" customFormat="1" x14ac:dyDescent="0.2">
      <c r="A1186" s="129" t="str">
        <f>IF(F1186&lt;&gt;"",1+MAX($A$7:A1185),"")</f>
        <v/>
      </c>
      <c r="B1186" s="140"/>
      <c r="C1186" s="140"/>
      <c r="D1186" s="141"/>
      <c r="E1186" s="165" t="s">
        <v>47</v>
      </c>
      <c r="F1186" s="166"/>
      <c r="G1186" s="167"/>
      <c r="H1186" s="168">
        <f>ROUNDUP((H1182)*5.25/1000,0)</f>
        <v>6</v>
      </c>
      <c r="I1186" s="145" t="s">
        <v>48</v>
      </c>
      <c r="J1186" s="37"/>
      <c r="K1186" s="159"/>
      <c r="L1186" s="160"/>
    </row>
    <row r="1187" spans="1:12" s="21" customFormat="1" x14ac:dyDescent="0.2">
      <c r="A1187" s="129">
        <f>IF(F1187&lt;&gt;"",1+MAX($A$7:A1186),"")</f>
        <v>413</v>
      </c>
      <c r="B1187" s="140" t="s">
        <v>105</v>
      </c>
      <c r="C1187" s="140" t="s">
        <v>104</v>
      </c>
      <c r="D1187" s="141"/>
      <c r="E1187" s="163" t="s">
        <v>102</v>
      </c>
      <c r="F1187" s="149">
        <f>56*4</f>
        <v>224</v>
      </c>
      <c r="G1187" s="124">
        <v>0.1</v>
      </c>
      <c r="H1187" s="143">
        <f>F1187*(1+G1187)</f>
        <v>246.40000000000003</v>
      </c>
      <c r="I1187" s="145" t="s">
        <v>15</v>
      </c>
      <c r="J1187" s="37">
        <f>J$148</f>
        <v>0</v>
      </c>
      <c r="K1187" s="159">
        <f>J1187*H1187</f>
        <v>0</v>
      </c>
      <c r="L1187" s="160"/>
    </row>
    <row r="1188" spans="1:12" s="21" customFormat="1" x14ac:dyDescent="0.2">
      <c r="A1188" s="129">
        <f>IF(F1188&lt;&gt;"",1+MAX($A$7:A1187),"")</f>
        <v>414</v>
      </c>
      <c r="B1188" s="140" t="s">
        <v>105</v>
      </c>
      <c r="C1188" s="140" t="s">
        <v>104</v>
      </c>
      <c r="D1188" s="149"/>
      <c r="E1188" s="163" t="s">
        <v>112</v>
      </c>
      <c r="F1188" s="149">
        <f>56*9</f>
        <v>504</v>
      </c>
      <c r="G1188" s="124">
        <v>0.1</v>
      </c>
      <c r="H1188" s="143">
        <f>F1188*(1+G1188)</f>
        <v>554.40000000000009</v>
      </c>
      <c r="I1188" s="145" t="s">
        <v>18</v>
      </c>
      <c r="J1188" s="37">
        <f>J$226</f>
        <v>0</v>
      </c>
      <c r="K1188" s="159">
        <f>J1188*H1188</f>
        <v>0</v>
      </c>
      <c r="L1188" s="160"/>
    </row>
    <row r="1189" spans="1:12" s="21" customFormat="1" x14ac:dyDescent="0.2">
      <c r="A1189" s="129">
        <f>IF(F1189&lt;&gt;"",1+MAX($A$7:A1188),"")</f>
        <v>415</v>
      </c>
      <c r="B1189" s="140" t="s">
        <v>105</v>
      </c>
      <c r="C1189" s="140" t="s">
        <v>104</v>
      </c>
      <c r="D1189" s="149"/>
      <c r="E1189" s="163" t="s">
        <v>116</v>
      </c>
      <c r="F1189" s="149">
        <f>56*9</f>
        <v>504</v>
      </c>
      <c r="G1189" s="124">
        <v>0.1</v>
      </c>
      <c r="H1189" s="143">
        <f>F1189*(1+G1189)</f>
        <v>554.40000000000009</v>
      </c>
      <c r="I1189" s="145" t="s">
        <v>18</v>
      </c>
      <c r="J1189" s="37">
        <f>J$202</f>
        <v>0</v>
      </c>
      <c r="K1189" s="159">
        <f>J1189*H1189</f>
        <v>0</v>
      </c>
      <c r="L1189" s="160"/>
    </row>
    <row r="1190" spans="1:12" s="21" customFormat="1" x14ac:dyDescent="0.2">
      <c r="A1190" s="129" t="str">
        <f>IF(F1190&lt;&gt;"",1+MAX($A$7:A1189),"")</f>
        <v/>
      </c>
      <c r="B1190" s="140"/>
      <c r="C1190" s="140"/>
      <c r="D1190" s="141"/>
      <c r="E1190" s="163"/>
      <c r="F1190" s="149"/>
      <c r="G1190" s="124"/>
      <c r="H1190" s="143"/>
      <c r="I1190" s="145"/>
      <c r="J1190" s="37"/>
      <c r="K1190" s="159"/>
      <c r="L1190" s="160"/>
    </row>
    <row r="1191" spans="1:12" s="21" customFormat="1" x14ac:dyDescent="0.2">
      <c r="A1191" s="129" t="str">
        <f>IF(F1191&lt;&gt;"",1+MAX($A$7:A1190),"")</f>
        <v/>
      </c>
      <c r="B1191" s="140"/>
      <c r="C1191" s="140"/>
      <c r="D1191" s="141"/>
      <c r="E1191" s="158" t="s">
        <v>118</v>
      </c>
      <c r="F1191" s="149"/>
      <c r="G1191" s="144"/>
      <c r="H1191" s="143"/>
      <c r="I1191" s="145"/>
      <c r="J1191" s="37"/>
      <c r="K1191" s="159"/>
      <c r="L1191" s="160"/>
    </row>
    <row r="1192" spans="1:12" s="21" customFormat="1" ht="31.5" x14ac:dyDescent="0.2">
      <c r="A1192" s="129">
        <f>IF(F1192&lt;&gt;"",1+MAX($A$7:A1191),"")</f>
        <v>416</v>
      </c>
      <c r="B1192" s="140" t="s">
        <v>105</v>
      </c>
      <c r="C1192" s="140" t="s">
        <v>104</v>
      </c>
      <c r="D1192" s="149"/>
      <c r="E1192" s="163" t="s">
        <v>198</v>
      </c>
      <c r="F1192" s="149">
        <f>29.4*9</f>
        <v>264.59999999999997</v>
      </c>
      <c r="G1192" s="124">
        <v>0.1</v>
      </c>
      <c r="H1192" s="143">
        <f>F1192*(1+G1192)</f>
        <v>291.06</v>
      </c>
      <c r="I1192" s="145" t="s">
        <v>18</v>
      </c>
      <c r="J1192" s="37">
        <f>J$160</f>
        <v>0</v>
      </c>
      <c r="K1192" s="159">
        <f>J1192*H1192</f>
        <v>0</v>
      </c>
      <c r="L1192" s="160"/>
    </row>
    <row r="1193" spans="1:12" s="21" customFormat="1" x14ac:dyDescent="0.2">
      <c r="A1193" s="129" t="str">
        <f>IF(F1193&lt;&gt;"",1+MAX($A$7:A1192),"")</f>
        <v/>
      </c>
      <c r="B1193" s="140"/>
      <c r="C1193" s="140"/>
      <c r="D1193" s="141"/>
      <c r="E1193" s="165" t="s">
        <v>41</v>
      </c>
      <c r="F1193" s="166"/>
      <c r="G1193" s="167"/>
      <c r="H1193" s="143">
        <f>ROUNDUP((H1192)/32,0)</f>
        <v>10</v>
      </c>
      <c r="I1193" s="145" t="s">
        <v>42</v>
      </c>
      <c r="J1193" s="37"/>
      <c r="K1193" s="159"/>
      <c r="L1193" s="160"/>
    </row>
    <row r="1194" spans="1:12" s="21" customFormat="1" x14ac:dyDescent="0.2">
      <c r="A1194" s="129" t="str">
        <f>IF(F1194&lt;&gt;"",1+MAX($A$7:A1193),"")</f>
        <v/>
      </c>
      <c r="B1194" s="140"/>
      <c r="C1194" s="140"/>
      <c r="D1194" s="141"/>
      <c r="E1194" s="165" t="s">
        <v>43</v>
      </c>
      <c r="F1194" s="166"/>
      <c r="G1194" s="167"/>
      <c r="H1194" s="143">
        <f>ROUNDUP(H1193*24/500,0)</f>
        <v>1</v>
      </c>
      <c r="I1194" s="145" t="s">
        <v>44</v>
      </c>
      <c r="J1194" s="37"/>
      <c r="K1194" s="159"/>
      <c r="L1194" s="160"/>
    </row>
    <row r="1195" spans="1:12" s="21" customFormat="1" x14ac:dyDescent="0.2">
      <c r="A1195" s="129" t="str">
        <f>IF(F1195&lt;&gt;"",1+MAX($A$7:A1194),"")</f>
        <v/>
      </c>
      <c r="B1195" s="140"/>
      <c r="C1195" s="140"/>
      <c r="D1195" s="141"/>
      <c r="E1195" s="165" t="s">
        <v>45</v>
      </c>
      <c r="F1195" s="166"/>
      <c r="G1195" s="167"/>
      <c r="H1195" s="168">
        <f>ROUNDUP((H1192)/200,0)</f>
        <v>2</v>
      </c>
      <c r="I1195" s="145" t="s">
        <v>46</v>
      </c>
      <c r="J1195" s="37"/>
      <c r="K1195" s="159"/>
      <c r="L1195" s="160"/>
    </row>
    <row r="1196" spans="1:12" s="21" customFormat="1" x14ac:dyDescent="0.2">
      <c r="A1196" s="129" t="str">
        <f>IF(F1196&lt;&gt;"",1+MAX($A$7:A1195),"")</f>
        <v/>
      </c>
      <c r="B1196" s="140"/>
      <c r="C1196" s="140"/>
      <c r="D1196" s="141"/>
      <c r="E1196" s="165" t="s">
        <v>47</v>
      </c>
      <c r="F1196" s="166"/>
      <c r="G1196" s="167"/>
      <c r="H1196" s="168">
        <f>ROUNDUP((H1192)*5.25/1000,0)</f>
        <v>2</v>
      </c>
      <c r="I1196" s="145" t="s">
        <v>48</v>
      </c>
      <c r="J1196" s="37"/>
      <c r="K1196" s="159"/>
      <c r="L1196" s="160"/>
    </row>
    <row r="1197" spans="1:12" s="21" customFormat="1" x14ac:dyDescent="0.2">
      <c r="A1197" s="129">
        <f>IF(F1197&lt;&gt;"",1+MAX($A$7:A1196),"")</f>
        <v>417</v>
      </c>
      <c r="B1197" s="140" t="s">
        <v>105</v>
      </c>
      <c r="C1197" s="140" t="s">
        <v>104</v>
      </c>
      <c r="D1197" s="141"/>
      <c r="E1197" s="163" t="s">
        <v>102</v>
      </c>
      <c r="F1197" s="149">
        <f>29.4*2</f>
        <v>58.8</v>
      </c>
      <c r="G1197" s="124">
        <v>0.1</v>
      </c>
      <c r="H1197" s="143">
        <f>F1197*(1+G1197)</f>
        <v>64.680000000000007</v>
      </c>
      <c r="I1197" s="145" t="s">
        <v>15</v>
      </c>
      <c r="J1197" s="37">
        <f>J$148</f>
        <v>0</v>
      </c>
      <c r="K1197" s="159">
        <f>J1197*H1197</f>
        <v>0</v>
      </c>
      <c r="L1197" s="160"/>
    </row>
    <row r="1198" spans="1:12" s="21" customFormat="1" x14ac:dyDescent="0.2">
      <c r="A1198" s="129">
        <f>IF(F1198&lt;&gt;"",1+MAX($A$7:A1197),"")</f>
        <v>418</v>
      </c>
      <c r="B1198" s="140" t="s">
        <v>105</v>
      </c>
      <c r="C1198" s="140" t="s">
        <v>104</v>
      </c>
      <c r="D1198" s="149"/>
      <c r="E1198" s="163" t="s">
        <v>119</v>
      </c>
      <c r="F1198" s="149">
        <f>29.4*9</f>
        <v>264.59999999999997</v>
      </c>
      <c r="G1198" s="124">
        <v>0.1</v>
      </c>
      <c r="H1198" s="143">
        <f>F1198*(1+G1198)</f>
        <v>291.06</v>
      </c>
      <c r="I1198" s="145" t="s">
        <v>18</v>
      </c>
      <c r="J1198" s="37">
        <f>J$618</f>
        <v>0</v>
      </c>
      <c r="K1198" s="159">
        <f>J1198*H1198</f>
        <v>0</v>
      </c>
      <c r="L1198" s="160"/>
    </row>
    <row r="1199" spans="1:12" s="21" customFormat="1" x14ac:dyDescent="0.2">
      <c r="A1199" s="129">
        <f>IF(F1199&lt;&gt;"",1+MAX($A$7:A1198),"")</f>
        <v>419</v>
      </c>
      <c r="B1199" s="140" t="s">
        <v>105</v>
      </c>
      <c r="C1199" s="140" t="s">
        <v>104</v>
      </c>
      <c r="D1199" s="149"/>
      <c r="E1199" s="163" t="s">
        <v>116</v>
      </c>
      <c r="F1199" s="149">
        <f>29.4*9</f>
        <v>264.59999999999997</v>
      </c>
      <c r="G1199" s="124">
        <v>0.1</v>
      </c>
      <c r="H1199" s="143">
        <f>F1199*(1+G1199)</f>
        <v>291.06</v>
      </c>
      <c r="I1199" s="145" t="s">
        <v>18</v>
      </c>
      <c r="J1199" s="37">
        <f>J$202</f>
        <v>0</v>
      </c>
      <c r="K1199" s="159">
        <f>J1199*H1199</f>
        <v>0</v>
      </c>
      <c r="L1199" s="160"/>
    </row>
    <row r="1200" spans="1:12" s="21" customFormat="1" x14ac:dyDescent="0.2">
      <c r="A1200" s="129" t="str">
        <f>IF(F1200&lt;&gt;"",1+MAX($A$7:A1199),"")</f>
        <v/>
      </c>
      <c r="B1200" s="140"/>
      <c r="C1200" s="140"/>
      <c r="D1200" s="141"/>
      <c r="E1200" s="163"/>
      <c r="F1200" s="149"/>
      <c r="G1200" s="124"/>
      <c r="H1200" s="143"/>
      <c r="I1200" s="145"/>
      <c r="J1200" s="37"/>
      <c r="K1200" s="159"/>
      <c r="L1200" s="160"/>
    </row>
    <row r="1201" spans="1:12" s="21" customFormat="1" x14ac:dyDescent="0.2">
      <c r="A1201" s="129" t="str">
        <f>IF(F1201&lt;&gt;"",1+MAX($A$7:A1200),"")</f>
        <v/>
      </c>
      <c r="B1201" s="140"/>
      <c r="C1201" s="140"/>
      <c r="D1201" s="141"/>
      <c r="E1201" s="158" t="s">
        <v>120</v>
      </c>
      <c r="F1201" s="149"/>
      <c r="G1201" s="144"/>
      <c r="H1201" s="143"/>
      <c r="I1201" s="145"/>
      <c r="J1201" s="37"/>
      <c r="K1201" s="159"/>
      <c r="L1201" s="160"/>
    </row>
    <row r="1202" spans="1:12" s="21" customFormat="1" x14ac:dyDescent="0.2">
      <c r="A1202" s="129">
        <f>IF(F1202&lt;&gt;"",1+MAX($A$7:A1201),"")</f>
        <v>420</v>
      </c>
      <c r="B1202" s="140" t="s">
        <v>105</v>
      </c>
      <c r="C1202" s="140" t="s">
        <v>104</v>
      </c>
      <c r="D1202" s="149"/>
      <c r="E1202" s="163" t="s">
        <v>100</v>
      </c>
      <c r="F1202" s="149">
        <f>47.2*9*2</f>
        <v>849.6</v>
      </c>
      <c r="G1202" s="124">
        <v>0.1</v>
      </c>
      <c r="H1202" s="143">
        <f>F1202*(1+G1202)</f>
        <v>934.56000000000006</v>
      </c>
      <c r="I1202" s="145" t="s">
        <v>18</v>
      </c>
      <c r="J1202" s="37">
        <f>J$143</f>
        <v>0</v>
      </c>
      <c r="K1202" s="159">
        <f>J1202*H1202</f>
        <v>0</v>
      </c>
      <c r="L1202" s="160"/>
    </row>
    <row r="1203" spans="1:12" s="21" customFormat="1" x14ac:dyDescent="0.2">
      <c r="A1203" s="129" t="str">
        <f>IF(F1203&lt;&gt;"",1+MAX($A$7:A1202),"")</f>
        <v/>
      </c>
      <c r="B1203" s="140"/>
      <c r="C1203" s="140"/>
      <c r="D1203" s="141"/>
      <c r="E1203" s="165" t="s">
        <v>41</v>
      </c>
      <c r="F1203" s="166"/>
      <c r="G1203" s="167"/>
      <c r="H1203" s="143">
        <f>ROUNDUP((H1202)/32,0)</f>
        <v>30</v>
      </c>
      <c r="I1203" s="145" t="s">
        <v>42</v>
      </c>
      <c r="J1203" s="37"/>
      <c r="K1203" s="159"/>
      <c r="L1203" s="160"/>
    </row>
    <row r="1204" spans="1:12" s="21" customFormat="1" x14ac:dyDescent="0.2">
      <c r="A1204" s="129" t="str">
        <f>IF(F1204&lt;&gt;"",1+MAX($A$7:A1203),"")</f>
        <v/>
      </c>
      <c r="B1204" s="140"/>
      <c r="C1204" s="140"/>
      <c r="D1204" s="141"/>
      <c r="E1204" s="165" t="s">
        <v>43</v>
      </c>
      <c r="F1204" s="166"/>
      <c r="G1204" s="167"/>
      <c r="H1204" s="143">
        <f>ROUNDUP(H1203*24/500,0)</f>
        <v>2</v>
      </c>
      <c r="I1204" s="145" t="s">
        <v>44</v>
      </c>
      <c r="J1204" s="37"/>
      <c r="K1204" s="159"/>
      <c r="L1204" s="160"/>
    </row>
    <row r="1205" spans="1:12" s="21" customFormat="1" x14ac:dyDescent="0.2">
      <c r="A1205" s="129" t="str">
        <f>IF(F1205&lt;&gt;"",1+MAX($A$7:A1204),"")</f>
        <v/>
      </c>
      <c r="B1205" s="140"/>
      <c r="C1205" s="140"/>
      <c r="D1205" s="141"/>
      <c r="E1205" s="165" t="s">
        <v>45</v>
      </c>
      <c r="F1205" s="166"/>
      <c r="G1205" s="167"/>
      <c r="H1205" s="168">
        <f>ROUNDUP((H1202)/200,0)</f>
        <v>5</v>
      </c>
      <c r="I1205" s="145" t="s">
        <v>46</v>
      </c>
      <c r="J1205" s="37"/>
      <c r="K1205" s="159"/>
      <c r="L1205" s="160"/>
    </row>
    <row r="1206" spans="1:12" s="21" customFormat="1" x14ac:dyDescent="0.2">
      <c r="A1206" s="129" t="str">
        <f>IF(F1206&lt;&gt;"",1+MAX($A$7:A1205),"")</f>
        <v/>
      </c>
      <c r="B1206" s="140"/>
      <c r="C1206" s="140"/>
      <c r="D1206" s="141"/>
      <c r="E1206" s="165" t="s">
        <v>47</v>
      </c>
      <c r="F1206" s="166"/>
      <c r="G1206" s="167"/>
      <c r="H1206" s="168">
        <f>ROUNDUP((H1202)*5.25/1000,0)</f>
        <v>5</v>
      </c>
      <c r="I1206" s="145" t="s">
        <v>48</v>
      </c>
      <c r="J1206" s="37"/>
      <c r="K1206" s="159"/>
      <c r="L1206" s="160"/>
    </row>
    <row r="1207" spans="1:12" s="21" customFormat="1" x14ac:dyDescent="0.2">
      <c r="A1207" s="129">
        <f>IF(F1207&lt;&gt;"",1+MAX($A$7:A1206),"")</f>
        <v>421</v>
      </c>
      <c r="B1207" s="140" t="s">
        <v>105</v>
      </c>
      <c r="C1207" s="140" t="s">
        <v>104</v>
      </c>
      <c r="D1207" s="141"/>
      <c r="E1207" s="163" t="s">
        <v>102</v>
      </c>
      <c r="F1207" s="149">
        <f>47.2*4</f>
        <v>188.8</v>
      </c>
      <c r="G1207" s="124">
        <v>0.1</v>
      </c>
      <c r="H1207" s="143">
        <f>F1207*(1+G1207)</f>
        <v>207.68000000000004</v>
      </c>
      <c r="I1207" s="145" t="s">
        <v>15</v>
      </c>
      <c r="J1207" s="37">
        <f>J$148</f>
        <v>0</v>
      </c>
      <c r="K1207" s="159">
        <f>J1207*H1207</f>
        <v>0</v>
      </c>
      <c r="L1207" s="160"/>
    </row>
    <row r="1208" spans="1:12" s="21" customFormat="1" x14ac:dyDescent="0.2">
      <c r="A1208" s="129">
        <f>IF(F1208&lt;&gt;"",1+MAX($A$7:A1207),"")</f>
        <v>422</v>
      </c>
      <c r="B1208" s="140" t="s">
        <v>105</v>
      </c>
      <c r="C1208" s="140" t="s">
        <v>104</v>
      </c>
      <c r="D1208" s="149"/>
      <c r="E1208" s="163" t="s">
        <v>109</v>
      </c>
      <c r="F1208" s="149">
        <f>47.2*9</f>
        <v>424.8</v>
      </c>
      <c r="G1208" s="124">
        <v>0.1</v>
      </c>
      <c r="H1208" s="143">
        <f>F1208*(1+G1208)</f>
        <v>467.28000000000003</v>
      </c>
      <c r="I1208" s="145" t="s">
        <v>18</v>
      </c>
      <c r="J1208" s="37">
        <f>J$251</f>
        <v>0</v>
      </c>
      <c r="K1208" s="159">
        <f>J1208*H1208</f>
        <v>0</v>
      </c>
      <c r="L1208" s="160"/>
    </row>
    <row r="1209" spans="1:12" s="21" customFormat="1" x14ac:dyDescent="0.2">
      <c r="A1209" s="129">
        <f>IF(F1209&lt;&gt;"",1+MAX($A$7:A1208),"")</f>
        <v>423</v>
      </c>
      <c r="B1209" s="140" t="s">
        <v>105</v>
      </c>
      <c r="C1209" s="140" t="s">
        <v>104</v>
      </c>
      <c r="D1209" s="149"/>
      <c r="E1209" s="163" t="s">
        <v>116</v>
      </c>
      <c r="F1209" s="149">
        <f>47.2*9</f>
        <v>424.8</v>
      </c>
      <c r="G1209" s="124">
        <v>0.1</v>
      </c>
      <c r="H1209" s="143">
        <f>F1209*(1+G1209)</f>
        <v>467.28000000000003</v>
      </c>
      <c r="I1209" s="145" t="s">
        <v>18</v>
      </c>
      <c r="J1209" s="37">
        <f>J$202</f>
        <v>0</v>
      </c>
      <c r="K1209" s="159">
        <f>J1209*H1209</f>
        <v>0</v>
      </c>
      <c r="L1209" s="160"/>
    </row>
    <row r="1210" spans="1:12" s="21" customFormat="1" x14ac:dyDescent="0.2">
      <c r="A1210" s="129" t="str">
        <f>IF(F1210&lt;&gt;"",1+MAX($A$7:A1209),"")</f>
        <v/>
      </c>
      <c r="B1210" s="140"/>
      <c r="C1210" s="140"/>
      <c r="D1210" s="141"/>
      <c r="E1210" s="163"/>
      <c r="F1210" s="149"/>
      <c r="G1210" s="124"/>
      <c r="H1210" s="143"/>
      <c r="I1210" s="145"/>
      <c r="J1210" s="37"/>
      <c r="K1210" s="159"/>
      <c r="L1210" s="160"/>
    </row>
    <row r="1211" spans="1:12" s="21" customFormat="1" x14ac:dyDescent="0.2">
      <c r="A1211" s="129" t="str">
        <f>IF(F1211&lt;&gt;"",1+MAX($A$7:A1210),"")</f>
        <v/>
      </c>
      <c r="B1211" s="140"/>
      <c r="C1211" s="140"/>
      <c r="D1211" s="141"/>
      <c r="E1211" s="158" t="s">
        <v>123</v>
      </c>
      <c r="F1211" s="149"/>
      <c r="G1211" s="144"/>
      <c r="H1211" s="143"/>
      <c r="I1211" s="145"/>
      <c r="J1211" s="37"/>
      <c r="K1211" s="159"/>
      <c r="L1211" s="160"/>
    </row>
    <row r="1212" spans="1:12" s="21" customFormat="1" ht="31.5" x14ac:dyDescent="0.2">
      <c r="A1212" s="129">
        <f>IF(F1212&lt;&gt;"",1+MAX($A$7:A1211),"")</f>
        <v>424</v>
      </c>
      <c r="B1212" s="140" t="s">
        <v>105</v>
      </c>
      <c r="C1212" s="140" t="s">
        <v>104</v>
      </c>
      <c r="D1212" s="149"/>
      <c r="E1212" s="163" t="s">
        <v>65</v>
      </c>
      <c r="F1212" s="149">
        <f>(59.4+43.1)*9*2*2</f>
        <v>3690</v>
      </c>
      <c r="G1212" s="124">
        <v>0.1</v>
      </c>
      <c r="H1212" s="143">
        <f>F1212*(1+G1212)</f>
        <v>4059.0000000000005</v>
      </c>
      <c r="I1212" s="145" t="s">
        <v>18</v>
      </c>
      <c r="J1212" s="37">
        <f>J$143</f>
        <v>0</v>
      </c>
      <c r="K1212" s="159">
        <f>J1212*H1212</f>
        <v>0</v>
      </c>
      <c r="L1212" s="160"/>
    </row>
    <row r="1213" spans="1:12" s="21" customFormat="1" x14ac:dyDescent="0.2">
      <c r="A1213" s="129" t="str">
        <f>IF(F1213&lt;&gt;"",1+MAX($A$7:A1212),"")</f>
        <v/>
      </c>
      <c r="B1213" s="140"/>
      <c r="C1213" s="140"/>
      <c r="D1213" s="141"/>
      <c r="E1213" s="165" t="s">
        <v>41</v>
      </c>
      <c r="F1213" s="166"/>
      <c r="G1213" s="167"/>
      <c r="H1213" s="143">
        <f>ROUNDUP((H1212)/32,0)</f>
        <v>127</v>
      </c>
      <c r="I1213" s="145" t="s">
        <v>42</v>
      </c>
      <c r="J1213" s="37"/>
      <c r="K1213" s="159"/>
      <c r="L1213" s="160"/>
    </row>
    <row r="1214" spans="1:12" s="21" customFormat="1" x14ac:dyDescent="0.2">
      <c r="A1214" s="129" t="str">
        <f>IF(F1214&lt;&gt;"",1+MAX($A$7:A1213),"")</f>
        <v/>
      </c>
      <c r="B1214" s="140"/>
      <c r="C1214" s="140"/>
      <c r="D1214" s="141"/>
      <c r="E1214" s="165" t="s">
        <v>43</v>
      </c>
      <c r="F1214" s="166"/>
      <c r="G1214" s="167"/>
      <c r="H1214" s="143">
        <f>ROUNDUP(H1213*24/500,0)</f>
        <v>7</v>
      </c>
      <c r="I1214" s="145" t="s">
        <v>44</v>
      </c>
      <c r="J1214" s="37"/>
      <c r="K1214" s="159"/>
      <c r="L1214" s="160"/>
    </row>
    <row r="1215" spans="1:12" s="21" customFormat="1" x14ac:dyDescent="0.2">
      <c r="A1215" s="129" t="str">
        <f>IF(F1215&lt;&gt;"",1+MAX($A$7:A1214),"")</f>
        <v/>
      </c>
      <c r="B1215" s="140"/>
      <c r="C1215" s="140"/>
      <c r="D1215" s="141"/>
      <c r="E1215" s="165" t="s">
        <v>45</v>
      </c>
      <c r="F1215" s="166"/>
      <c r="G1215" s="167"/>
      <c r="H1215" s="168">
        <f>ROUNDUP((H1212)/200,0)</f>
        <v>21</v>
      </c>
      <c r="I1215" s="145" t="s">
        <v>46</v>
      </c>
      <c r="J1215" s="37"/>
      <c r="K1215" s="159"/>
      <c r="L1215" s="160"/>
    </row>
    <row r="1216" spans="1:12" s="21" customFormat="1" x14ac:dyDescent="0.2">
      <c r="A1216" s="129" t="str">
        <f>IF(F1216&lt;&gt;"",1+MAX($A$7:A1215),"")</f>
        <v/>
      </c>
      <c r="B1216" s="140"/>
      <c r="C1216" s="140"/>
      <c r="D1216" s="141"/>
      <c r="E1216" s="165" t="s">
        <v>47</v>
      </c>
      <c r="F1216" s="166"/>
      <c r="G1216" s="167"/>
      <c r="H1216" s="168">
        <f>ROUNDUP((H1212)*5.25/1000,0)</f>
        <v>22</v>
      </c>
      <c r="I1216" s="145" t="s">
        <v>48</v>
      </c>
      <c r="J1216" s="37"/>
      <c r="K1216" s="159"/>
      <c r="L1216" s="160"/>
    </row>
    <row r="1217" spans="1:12" s="21" customFormat="1" x14ac:dyDescent="0.2">
      <c r="A1217" s="129">
        <f>IF(F1217&lt;&gt;"",1+MAX($A$7:A1216),"")</f>
        <v>425</v>
      </c>
      <c r="B1217" s="140" t="s">
        <v>105</v>
      </c>
      <c r="C1217" s="140" t="s">
        <v>104</v>
      </c>
      <c r="D1217" s="141"/>
      <c r="E1217" s="163" t="s">
        <v>102</v>
      </c>
      <c r="F1217" s="149">
        <f>(59.4+43.1)*4</f>
        <v>410</v>
      </c>
      <c r="G1217" s="124">
        <v>0.1</v>
      </c>
      <c r="H1217" s="143">
        <f>F1217*(1+G1217)</f>
        <v>451.00000000000006</v>
      </c>
      <c r="I1217" s="145" t="s">
        <v>15</v>
      </c>
      <c r="J1217" s="37">
        <f>J$148</f>
        <v>0</v>
      </c>
      <c r="K1217" s="159">
        <f>J1217*H1217</f>
        <v>0</v>
      </c>
      <c r="L1217" s="160"/>
    </row>
    <row r="1218" spans="1:12" s="21" customFormat="1" x14ac:dyDescent="0.2">
      <c r="A1218" s="129">
        <f>IF(F1218&lt;&gt;"",1+MAX($A$7:A1217),"")</f>
        <v>426</v>
      </c>
      <c r="B1218" s="140" t="s">
        <v>105</v>
      </c>
      <c r="C1218" s="140" t="s">
        <v>104</v>
      </c>
      <c r="D1218" s="149"/>
      <c r="E1218" s="163" t="s">
        <v>111</v>
      </c>
      <c r="F1218" s="149">
        <f>(59.4+43.1)*9</f>
        <v>922.5</v>
      </c>
      <c r="G1218" s="124">
        <v>0.1</v>
      </c>
      <c r="H1218" s="143">
        <f>F1218*(1+G1218)</f>
        <v>1014.7500000000001</v>
      </c>
      <c r="I1218" s="145" t="s">
        <v>18</v>
      </c>
      <c r="J1218" s="37">
        <f>J$187</f>
        <v>0</v>
      </c>
      <c r="K1218" s="159">
        <f>J1218*H1218</f>
        <v>0</v>
      </c>
      <c r="L1218" s="160"/>
    </row>
    <row r="1219" spans="1:12" s="21" customFormat="1" x14ac:dyDescent="0.2">
      <c r="A1219" s="129">
        <f>IF(F1219&lt;&gt;"",1+MAX($A$7:A1218),"")</f>
        <v>427</v>
      </c>
      <c r="B1219" s="140" t="s">
        <v>105</v>
      </c>
      <c r="C1219" s="140" t="s">
        <v>104</v>
      </c>
      <c r="D1219" s="149"/>
      <c r="E1219" s="163" t="s">
        <v>116</v>
      </c>
      <c r="F1219" s="149">
        <f>(59.4+43.1)*9</f>
        <v>922.5</v>
      </c>
      <c r="G1219" s="124">
        <v>0.1</v>
      </c>
      <c r="H1219" s="143">
        <f>F1219*(1+G1219)</f>
        <v>1014.7500000000001</v>
      </c>
      <c r="I1219" s="145" t="s">
        <v>18</v>
      </c>
      <c r="J1219" s="37">
        <f>J$202</f>
        <v>0</v>
      </c>
      <c r="K1219" s="159">
        <f>J1219*H1219</f>
        <v>0</v>
      </c>
      <c r="L1219" s="160"/>
    </row>
    <row r="1220" spans="1:12" s="21" customFormat="1" x14ac:dyDescent="0.2">
      <c r="A1220" s="129" t="str">
        <f>IF(F1220&lt;&gt;"",1+MAX($A$7:A1219),"")</f>
        <v/>
      </c>
      <c r="B1220" s="140"/>
      <c r="C1220" s="140"/>
      <c r="D1220" s="141"/>
      <c r="E1220" s="163"/>
      <c r="F1220" s="149"/>
      <c r="G1220" s="124"/>
      <c r="H1220" s="143"/>
      <c r="I1220" s="145"/>
      <c r="J1220" s="37"/>
      <c r="K1220" s="159"/>
      <c r="L1220" s="160"/>
    </row>
    <row r="1221" spans="1:12" s="21" customFormat="1" x14ac:dyDescent="0.2">
      <c r="A1221" s="129" t="str">
        <f>IF(F1221&lt;&gt;"",1+MAX($A$7:A1220),"")</f>
        <v/>
      </c>
      <c r="B1221" s="140"/>
      <c r="C1221" s="140"/>
      <c r="D1221" s="141"/>
      <c r="E1221" s="158" t="s">
        <v>125</v>
      </c>
      <c r="F1221" s="149"/>
      <c r="G1221" s="144"/>
      <c r="H1221" s="143"/>
      <c r="I1221" s="145"/>
      <c r="J1221" s="37"/>
      <c r="K1221" s="159"/>
      <c r="L1221" s="160"/>
    </row>
    <row r="1222" spans="1:12" s="21" customFormat="1" ht="31.5" x14ac:dyDescent="0.2">
      <c r="A1222" s="129">
        <f>IF(F1222&lt;&gt;"",1+MAX($A$7:A1221),"")</f>
        <v>428</v>
      </c>
      <c r="B1222" s="140" t="s">
        <v>105</v>
      </c>
      <c r="C1222" s="140" t="s">
        <v>104</v>
      </c>
      <c r="D1222" s="149"/>
      <c r="E1222" s="163" t="s">
        <v>198</v>
      </c>
      <c r="F1222" s="149">
        <f>32.7*9</f>
        <v>294.3</v>
      </c>
      <c r="G1222" s="124">
        <v>0.1</v>
      </c>
      <c r="H1222" s="143">
        <f>F1222*(1+G1222)</f>
        <v>323.73</v>
      </c>
      <c r="I1222" s="145" t="s">
        <v>18</v>
      </c>
      <c r="J1222" s="37">
        <f>J$160</f>
        <v>0</v>
      </c>
      <c r="K1222" s="159">
        <f>J1222*H1222</f>
        <v>0</v>
      </c>
      <c r="L1222" s="160"/>
    </row>
    <row r="1223" spans="1:12" s="21" customFormat="1" x14ac:dyDescent="0.2">
      <c r="A1223" s="129" t="str">
        <f>IF(F1223&lt;&gt;"",1+MAX($A$7:A1222),"")</f>
        <v/>
      </c>
      <c r="B1223" s="140"/>
      <c r="C1223" s="140"/>
      <c r="D1223" s="141"/>
      <c r="E1223" s="165" t="s">
        <v>41</v>
      </c>
      <c r="F1223" s="166"/>
      <c r="G1223" s="167"/>
      <c r="H1223" s="143">
        <f>ROUNDUP((H1222)/32,0)</f>
        <v>11</v>
      </c>
      <c r="I1223" s="145" t="s">
        <v>42</v>
      </c>
      <c r="J1223" s="37"/>
      <c r="K1223" s="159"/>
      <c r="L1223" s="160"/>
    </row>
    <row r="1224" spans="1:12" s="21" customFormat="1" x14ac:dyDescent="0.2">
      <c r="A1224" s="129" t="str">
        <f>IF(F1224&lt;&gt;"",1+MAX($A$7:A1223),"")</f>
        <v/>
      </c>
      <c r="B1224" s="140"/>
      <c r="C1224" s="140"/>
      <c r="D1224" s="141"/>
      <c r="E1224" s="165" t="s">
        <v>43</v>
      </c>
      <c r="F1224" s="166"/>
      <c r="G1224" s="167"/>
      <c r="H1224" s="143">
        <f>ROUNDUP(H1223*24/500,0)</f>
        <v>1</v>
      </c>
      <c r="I1224" s="145" t="s">
        <v>44</v>
      </c>
      <c r="J1224" s="37"/>
      <c r="K1224" s="159"/>
      <c r="L1224" s="160"/>
    </row>
    <row r="1225" spans="1:12" s="21" customFormat="1" x14ac:dyDescent="0.2">
      <c r="A1225" s="129" t="str">
        <f>IF(F1225&lt;&gt;"",1+MAX($A$7:A1224),"")</f>
        <v/>
      </c>
      <c r="B1225" s="140"/>
      <c r="C1225" s="140"/>
      <c r="D1225" s="141"/>
      <c r="E1225" s="165" t="s">
        <v>45</v>
      </c>
      <c r="F1225" s="166"/>
      <c r="G1225" s="167"/>
      <c r="H1225" s="168">
        <f>ROUNDUP((H1222)/200,0)</f>
        <v>2</v>
      </c>
      <c r="I1225" s="145" t="s">
        <v>46</v>
      </c>
      <c r="J1225" s="37"/>
      <c r="K1225" s="159"/>
      <c r="L1225" s="160"/>
    </row>
    <row r="1226" spans="1:12" s="21" customFormat="1" x14ac:dyDescent="0.2">
      <c r="A1226" s="129" t="str">
        <f>IF(F1226&lt;&gt;"",1+MAX($A$7:A1225),"")</f>
        <v/>
      </c>
      <c r="B1226" s="140"/>
      <c r="C1226" s="140"/>
      <c r="D1226" s="141"/>
      <c r="E1226" s="165" t="s">
        <v>47</v>
      </c>
      <c r="F1226" s="166"/>
      <c r="G1226" s="167"/>
      <c r="H1226" s="168">
        <f>ROUNDUP((H1222)*5.25/1000,0)</f>
        <v>2</v>
      </c>
      <c r="I1226" s="145" t="s">
        <v>48</v>
      </c>
      <c r="J1226" s="37"/>
      <c r="K1226" s="159"/>
      <c r="L1226" s="160"/>
    </row>
    <row r="1227" spans="1:12" s="21" customFormat="1" x14ac:dyDescent="0.2">
      <c r="A1227" s="129">
        <f>IF(F1227&lt;&gt;"",1+MAX($A$7:A1226),"")</f>
        <v>429</v>
      </c>
      <c r="B1227" s="140" t="s">
        <v>105</v>
      </c>
      <c r="C1227" s="140" t="s">
        <v>104</v>
      </c>
      <c r="D1227" s="141"/>
      <c r="E1227" s="163" t="s">
        <v>102</v>
      </c>
      <c r="F1227" s="149">
        <f>32.7*2</f>
        <v>65.400000000000006</v>
      </c>
      <c r="G1227" s="124">
        <v>0.1</v>
      </c>
      <c r="H1227" s="143">
        <f>F1227*(1+G1227)</f>
        <v>71.940000000000012</v>
      </c>
      <c r="I1227" s="145" t="s">
        <v>15</v>
      </c>
      <c r="J1227" s="37">
        <f>J$148</f>
        <v>0</v>
      </c>
      <c r="K1227" s="159">
        <f>J1227*H1227</f>
        <v>0</v>
      </c>
      <c r="L1227" s="160"/>
    </row>
    <row r="1228" spans="1:12" s="21" customFormat="1" x14ac:dyDescent="0.2">
      <c r="A1228" s="129">
        <f>IF(F1228&lt;&gt;"",1+MAX($A$7:A1227),"")</f>
        <v>430</v>
      </c>
      <c r="B1228" s="140" t="s">
        <v>105</v>
      </c>
      <c r="C1228" s="140" t="s">
        <v>104</v>
      </c>
      <c r="D1228" s="149"/>
      <c r="E1228" s="163" t="s">
        <v>126</v>
      </c>
      <c r="F1228" s="149">
        <f>32.7*9</f>
        <v>294.3</v>
      </c>
      <c r="G1228" s="124">
        <v>0.1</v>
      </c>
      <c r="H1228" s="143">
        <f>F1228*(1+G1228)</f>
        <v>323.73</v>
      </c>
      <c r="I1228" s="145" t="s">
        <v>18</v>
      </c>
      <c r="J1228" s="37">
        <f>J$149</f>
        <v>0</v>
      </c>
      <c r="K1228" s="159">
        <f>J1228*H1228</f>
        <v>0</v>
      </c>
      <c r="L1228" s="160"/>
    </row>
    <row r="1229" spans="1:12" s="21" customFormat="1" x14ac:dyDescent="0.2">
      <c r="A1229" s="129" t="str">
        <f>IF(F1229&lt;&gt;"",1+MAX($A$7:A1228),"")</f>
        <v/>
      </c>
      <c r="B1229" s="140"/>
      <c r="C1229" s="140"/>
      <c r="D1229" s="141"/>
      <c r="E1229" s="165" t="s">
        <v>49</v>
      </c>
      <c r="F1229" s="149"/>
      <c r="G1229" s="124"/>
      <c r="H1229" s="143">
        <f>(32.7/1.167+1)</f>
        <v>29.020565552699232</v>
      </c>
      <c r="I1229" s="145" t="s">
        <v>20</v>
      </c>
      <c r="J1229" s="37"/>
      <c r="K1229" s="159"/>
      <c r="L1229" s="160"/>
    </row>
    <row r="1230" spans="1:12" s="21" customFormat="1" x14ac:dyDescent="0.2">
      <c r="A1230" s="129">
        <f>IF(F1230&lt;&gt;"",1+MAX($A$7:A1229),"")</f>
        <v>431</v>
      </c>
      <c r="B1230" s="140" t="s">
        <v>105</v>
      </c>
      <c r="C1230" s="140" t="s">
        <v>104</v>
      </c>
      <c r="D1230" s="141"/>
      <c r="E1230" s="163" t="s">
        <v>127</v>
      </c>
      <c r="F1230" s="149">
        <f>32.7*2</f>
        <v>65.400000000000006</v>
      </c>
      <c r="G1230" s="124">
        <v>0.1</v>
      </c>
      <c r="H1230" s="143">
        <f>F1230*(1+G1230)</f>
        <v>71.940000000000012</v>
      </c>
      <c r="I1230" s="145" t="s">
        <v>15</v>
      </c>
      <c r="J1230" s="37">
        <f>J$151</f>
        <v>0</v>
      </c>
      <c r="K1230" s="159">
        <f>J1230*H1230</f>
        <v>0</v>
      </c>
      <c r="L1230" s="160"/>
    </row>
    <row r="1231" spans="1:12" s="21" customFormat="1" x14ac:dyDescent="0.2">
      <c r="A1231" s="129">
        <f>IF(F1231&lt;&gt;"",1+MAX($A$7:A1230),"")</f>
        <v>432</v>
      </c>
      <c r="B1231" s="140" t="s">
        <v>105</v>
      </c>
      <c r="C1231" s="140" t="s">
        <v>104</v>
      </c>
      <c r="D1231" s="141"/>
      <c r="E1231" s="163" t="s">
        <v>128</v>
      </c>
      <c r="F1231" s="149">
        <f>32.7</f>
        <v>32.700000000000003</v>
      </c>
      <c r="G1231" s="124">
        <v>0.1</v>
      </c>
      <c r="H1231" s="143">
        <f>F1231*(1+G1231)</f>
        <v>35.970000000000006</v>
      </c>
      <c r="I1231" s="145" t="s">
        <v>15</v>
      </c>
      <c r="J1231" s="37">
        <f>J$309</f>
        <v>0</v>
      </c>
      <c r="K1231" s="159">
        <f>J1231*H1231</f>
        <v>0</v>
      </c>
      <c r="L1231" s="160"/>
    </row>
    <row r="1232" spans="1:12" s="21" customFormat="1" x14ac:dyDescent="0.2">
      <c r="A1232" s="129" t="str">
        <f>IF(F1232&lt;&gt;"",1+MAX($A$7:A1231),"")</f>
        <v/>
      </c>
      <c r="B1232" s="140"/>
      <c r="C1232" s="140"/>
      <c r="D1232" s="141"/>
      <c r="E1232" s="163"/>
      <c r="F1232" s="149"/>
      <c r="G1232" s="124"/>
      <c r="H1232" s="143"/>
      <c r="I1232" s="145"/>
      <c r="J1232" s="37"/>
      <c r="K1232" s="159"/>
      <c r="L1232" s="160"/>
    </row>
    <row r="1233" spans="1:12" s="21" customFormat="1" x14ac:dyDescent="0.2">
      <c r="A1233" s="129" t="str">
        <f>IF(F1233&lt;&gt;"",1+MAX($A$7:A1232),"")</f>
        <v/>
      </c>
      <c r="B1233" s="140"/>
      <c r="C1233" s="140"/>
      <c r="D1233" s="141"/>
      <c r="E1233" s="158" t="s">
        <v>132</v>
      </c>
      <c r="F1233" s="149"/>
      <c r="G1233" s="144"/>
      <c r="H1233" s="143"/>
      <c r="I1233" s="145"/>
      <c r="J1233" s="37"/>
      <c r="K1233" s="159"/>
      <c r="L1233" s="160"/>
    </row>
    <row r="1234" spans="1:12" s="21" customFormat="1" x14ac:dyDescent="0.2">
      <c r="A1234" s="129">
        <f>IF(F1234&lt;&gt;"",1+MAX($A$7:A1233),"")</f>
        <v>433</v>
      </c>
      <c r="B1234" s="140" t="s">
        <v>105</v>
      </c>
      <c r="C1234" s="140" t="s">
        <v>104</v>
      </c>
      <c r="D1234" s="149"/>
      <c r="E1234" s="163" t="s">
        <v>100</v>
      </c>
      <c r="F1234" s="149">
        <f>9.5*9*2</f>
        <v>171</v>
      </c>
      <c r="G1234" s="124">
        <v>0.1</v>
      </c>
      <c r="H1234" s="143">
        <f>F1234*(1+G1234)</f>
        <v>188.10000000000002</v>
      </c>
      <c r="I1234" s="145" t="s">
        <v>18</v>
      </c>
      <c r="J1234" s="37">
        <f>J$143</f>
        <v>0</v>
      </c>
      <c r="K1234" s="159">
        <f>J1234*H1234</f>
        <v>0</v>
      </c>
      <c r="L1234" s="160"/>
    </row>
    <row r="1235" spans="1:12" s="21" customFormat="1" x14ac:dyDescent="0.2">
      <c r="A1235" s="129" t="str">
        <f>IF(F1235&lt;&gt;"",1+MAX($A$7:A1234),"")</f>
        <v/>
      </c>
      <c r="B1235" s="140"/>
      <c r="C1235" s="140"/>
      <c r="D1235" s="141"/>
      <c r="E1235" s="165" t="s">
        <v>41</v>
      </c>
      <c r="F1235" s="166"/>
      <c r="G1235" s="167"/>
      <c r="H1235" s="143">
        <f>ROUNDUP((H1234)/32,0)</f>
        <v>6</v>
      </c>
      <c r="I1235" s="145" t="s">
        <v>42</v>
      </c>
      <c r="J1235" s="37"/>
      <c r="K1235" s="159"/>
      <c r="L1235" s="160"/>
    </row>
    <row r="1236" spans="1:12" s="21" customFormat="1" x14ac:dyDescent="0.2">
      <c r="A1236" s="129" t="str">
        <f>IF(F1236&lt;&gt;"",1+MAX($A$7:A1235),"")</f>
        <v/>
      </c>
      <c r="B1236" s="140"/>
      <c r="C1236" s="140"/>
      <c r="D1236" s="141"/>
      <c r="E1236" s="165" t="s">
        <v>43</v>
      </c>
      <c r="F1236" s="166"/>
      <c r="G1236" s="167"/>
      <c r="H1236" s="143">
        <f>ROUNDUP(H1235*24/500,0)</f>
        <v>1</v>
      </c>
      <c r="I1236" s="145" t="s">
        <v>44</v>
      </c>
      <c r="J1236" s="37"/>
      <c r="K1236" s="159"/>
      <c r="L1236" s="160"/>
    </row>
    <row r="1237" spans="1:12" s="21" customFormat="1" x14ac:dyDescent="0.2">
      <c r="A1237" s="129" t="str">
        <f>IF(F1237&lt;&gt;"",1+MAX($A$7:A1236),"")</f>
        <v/>
      </c>
      <c r="B1237" s="140"/>
      <c r="C1237" s="140"/>
      <c r="D1237" s="141"/>
      <c r="E1237" s="165" t="s">
        <v>45</v>
      </c>
      <c r="F1237" s="166"/>
      <c r="G1237" s="167"/>
      <c r="H1237" s="168">
        <f>ROUNDUP((H1234)/200,0)</f>
        <v>1</v>
      </c>
      <c r="I1237" s="145" t="s">
        <v>46</v>
      </c>
      <c r="J1237" s="37"/>
      <c r="K1237" s="159"/>
      <c r="L1237" s="160"/>
    </row>
    <row r="1238" spans="1:12" s="21" customFormat="1" x14ac:dyDescent="0.2">
      <c r="A1238" s="129" t="str">
        <f>IF(F1238&lt;&gt;"",1+MAX($A$7:A1237),"")</f>
        <v/>
      </c>
      <c r="B1238" s="140"/>
      <c r="C1238" s="140"/>
      <c r="D1238" s="141"/>
      <c r="E1238" s="165" t="s">
        <v>47</v>
      </c>
      <c r="F1238" s="166"/>
      <c r="G1238" s="167"/>
      <c r="H1238" s="168">
        <f>ROUNDUP((H1234)*5.25/1000,0)</f>
        <v>1</v>
      </c>
      <c r="I1238" s="145" t="s">
        <v>48</v>
      </c>
      <c r="J1238" s="37"/>
      <c r="K1238" s="159"/>
      <c r="L1238" s="160"/>
    </row>
    <row r="1239" spans="1:12" s="21" customFormat="1" x14ac:dyDescent="0.2">
      <c r="A1239" s="129">
        <f>IF(F1239&lt;&gt;"",1+MAX($A$7:A1238),"")</f>
        <v>434</v>
      </c>
      <c r="B1239" s="140" t="s">
        <v>105</v>
      </c>
      <c r="C1239" s="140" t="s">
        <v>104</v>
      </c>
      <c r="D1239" s="141"/>
      <c r="E1239" s="163" t="s">
        <v>102</v>
      </c>
      <c r="F1239" s="149">
        <f>9.5*4</f>
        <v>38</v>
      </c>
      <c r="G1239" s="124">
        <v>0.1</v>
      </c>
      <c r="H1239" s="143">
        <f>F1239*(1+G1239)</f>
        <v>41.800000000000004</v>
      </c>
      <c r="I1239" s="145" t="s">
        <v>15</v>
      </c>
      <c r="J1239" s="37">
        <f>J$148</f>
        <v>0</v>
      </c>
      <c r="K1239" s="159">
        <f>J1239*H1239</f>
        <v>0</v>
      </c>
      <c r="L1239" s="160"/>
    </row>
    <row r="1240" spans="1:12" s="21" customFormat="1" x14ac:dyDescent="0.2">
      <c r="A1240" s="129">
        <f>IF(F1240&lt;&gt;"",1+MAX($A$7:A1239),"")</f>
        <v>435</v>
      </c>
      <c r="B1240" s="140" t="s">
        <v>105</v>
      </c>
      <c r="C1240" s="140" t="s">
        <v>104</v>
      </c>
      <c r="D1240" s="149"/>
      <c r="E1240" s="163" t="s">
        <v>349</v>
      </c>
      <c r="F1240" s="149">
        <f>9.5*9</f>
        <v>85.5</v>
      </c>
      <c r="G1240" s="124">
        <v>0.1</v>
      </c>
      <c r="H1240" s="143">
        <f>F1240*(1+G1240)</f>
        <v>94.050000000000011</v>
      </c>
      <c r="I1240" s="145" t="s">
        <v>18</v>
      </c>
      <c r="J1240" s="37">
        <f>J$276</f>
        <v>0</v>
      </c>
      <c r="K1240" s="159">
        <f>J1240*H1240</f>
        <v>0</v>
      </c>
      <c r="L1240" s="160"/>
    </row>
    <row r="1241" spans="1:12" s="21" customFormat="1" x14ac:dyDescent="0.2">
      <c r="A1241" s="129">
        <f>IF(F1241&lt;&gt;"",1+MAX($A$7:A1240),"")</f>
        <v>436</v>
      </c>
      <c r="B1241" s="140" t="s">
        <v>105</v>
      </c>
      <c r="C1241" s="140" t="s">
        <v>104</v>
      </c>
      <c r="D1241" s="149"/>
      <c r="E1241" s="163" t="s">
        <v>116</v>
      </c>
      <c r="F1241" s="149">
        <f>9.5*9</f>
        <v>85.5</v>
      </c>
      <c r="G1241" s="124">
        <v>0.1</v>
      </c>
      <c r="H1241" s="143">
        <f>F1241*(1+G1241)</f>
        <v>94.050000000000011</v>
      </c>
      <c r="I1241" s="145" t="s">
        <v>18</v>
      </c>
      <c r="J1241" s="37">
        <f>J$202</f>
        <v>0</v>
      </c>
      <c r="K1241" s="159">
        <f>J1241*H1241</f>
        <v>0</v>
      </c>
      <c r="L1241" s="160"/>
    </row>
    <row r="1242" spans="1:12" s="21" customFormat="1" x14ac:dyDescent="0.2">
      <c r="A1242" s="129" t="str">
        <f>IF(F1242&lt;&gt;"",1+MAX($A$7:A1241),"")</f>
        <v/>
      </c>
      <c r="B1242" s="140"/>
      <c r="C1242" s="140"/>
      <c r="D1242" s="141"/>
      <c r="E1242" s="163"/>
      <c r="F1242" s="149"/>
      <c r="G1242" s="124"/>
      <c r="H1242" s="143"/>
      <c r="I1242" s="145"/>
      <c r="J1242" s="37"/>
      <c r="K1242" s="159"/>
      <c r="L1242" s="160"/>
    </row>
    <row r="1243" spans="1:12" s="21" customFormat="1" x14ac:dyDescent="0.2">
      <c r="A1243" s="129" t="str">
        <f>IF(F1243&lt;&gt;"",1+MAX($A$7:A1242),"")</f>
        <v/>
      </c>
      <c r="B1243" s="140"/>
      <c r="C1243" s="140"/>
      <c r="D1243" s="141"/>
      <c r="E1243" s="158" t="s">
        <v>144</v>
      </c>
      <c r="F1243" s="149"/>
      <c r="G1243" s="144"/>
      <c r="H1243" s="143"/>
      <c r="I1243" s="145"/>
      <c r="J1243" s="37"/>
      <c r="K1243" s="159"/>
      <c r="L1243" s="160"/>
    </row>
    <row r="1244" spans="1:12" s="21" customFormat="1" ht="31.5" x14ac:dyDescent="0.2">
      <c r="A1244" s="129">
        <f>IF(F1244&lt;&gt;"",1+MAX($A$7:A1243),"")</f>
        <v>437</v>
      </c>
      <c r="B1244" s="140" t="s">
        <v>105</v>
      </c>
      <c r="C1244" s="140" t="s">
        <v>104</v>
      </c>
      <c r="D1244" s="149"/>
      <c r="E1244" s="163" t="s">
        <v>65</v>
      </c>
      <c r="F1244" s="149">
        <f>3.3*9*2*2</f>
        <v>118.8</v>
      </c>
      <c r="G1244" s="124">
        <v>0.1</v>
      </c>
      <c r="H1244" s="143">
        <f>F1244*(1+G1244)</f>
        <v>130.68</v>
      </c>
      <c r="I1244" s="145" t="s">
        <v>18</v>
      </c>
      <c r="J1244" s="37">
        <f>J$143</f>
        <v>0</v>
      </c>
      <c r="K1244" s="159">
        <f>J1244*H1244</f>
        <v>0</v>
      </c>
      <c r="L1244" s="160"/>
    </row>
    <row r="1245" spans="1:12" s="21" customFormat="1" x14ac:dyDescent="0.2">
      <c r="A1245" s="129" t="str">
        <f>IF(F1245&lt;&gt;"",1+MAX($A$7:A1244),"")</f>
        <v/>
      </c>
      <c r="B1245" s="140"/>
      <c r="C1245" s="140"/>
      <c r="D1245" s="141"/>
      <c r="E1245" s="165" t="s">
        <v>41</v>
      </c>
      <c r="F1245" s="166"/>
      <c r="G1245" s="167"/>
      <c r="H1245" s="143">
        <f>ROUNDUP((H1244)/32,0)</f>
        <v>5</v>
      </c>
      <c r="I1245" s="145" t="s">
        <v>42</v>
      </c>
      <c r="J1245" s="37"/>
      <c r="K1245" s="159"/>
      <c r="L1245" s="160"/>
    </row>
    <row r="1246" spans="1:12" s="21" customFormat="1" x14ac:dyDescent="0.2">
      <c r="A1246" s="129" t="str">
        <f>IF(F1246&lt;&gt;"",1+MAX($A$7:A1245),"")</f>
        <v/>
      </c>
      <c r="B1246" s="140"/>
      <c r="C1246" s="140"/>
      <c r="D1246" s="141"/>
      <c r="E1246" s="165" t="s">
        <v>43</v>
      </c>
      <c r="F1246" s="166"/>
      <c r="G1246" s="167"/>
      <c r="H1246" s="143">
        <f>ROUNDUP(H1245*24/500,0)</f>
        <v>1</v>
      </c>
      <c r="I1246" s="145" t="s">
        <v>44</v>
      </c>
      <c r="J1246" s="37"/>
      <c r="K1246" s="159"/>
      <c r="L1246" s="160"/>
    </row>
    <row r="1247" spans="1:12" s="21" customFormat="1" x14ac:dyDescent="0.2">
      <c r="A1247" s="129" t="str">
        <f>IF(F1247&lt;&gt;"",1+MAX($A$7:A1246),"")</f>
        <v/>
      </c>
      <c r="B1247" s="140"/>
      <c r="C1247" s="140"/>
      <c r="D1247" s="141"/>
      <c r="E1247" s="165" t="s">
        <v>45</v>
      </c>
      <c r="F1247" s="166"/>
      <c r="G1247" s="167"/>
      <c r="H1247" s="168">
        <f>ROUNDUP((H1244)/200,0)</f>
        <v>1</v>
      </c>
      <c r="I1247" s="145" t="s">
        <v>46</v>
      </c>
      <c r="J1247" s="37"/>
      <c r="K1247" s="159"/>
      <c r="L1247" s="160"/>
    </row>
    <row r="1248" spans="1:12" s="21" customFormat="1" x14ac:dyDescent="0.2">
      <c r="A1248" s="129" t="str">
        <f>IF(F1248&lt;&gt;"",1+MAX($A$7:A1247),"")</f>
        <v/>
      </c>
      <c r="B1248" s="140"/>
      <c r="C1248" s="140"/>
      <c r="D1248" s="141"/>
      <c r="E1248" s="165" t="s">
        <v>47</v>
      </c>
      <c r="F1248" s="166"/>
      <c r="G1248" s="167"/>
      <c r="H1248" s="168">
        <f>ROUNDUP((H1244)*5.25/1000,0)</f>
        <v>1</v>
      </c>
      <c r="I1248" s="145" t="s">
        <v>48</v>
      </c>
      <c r="J1248" s="37"/>
      <c r="K1248" s="159"/>
      <c r="L1248" s="160"/>
    </row>
    <row r="1249" spans="1:12" s="21" customFormat="1" x14ac:dyDescent="0.2">
      <c r="A1249" s="129">
        <f>IF(F1249&lt;&gt;"",1+MAX($A$7:A1248),"")</f>
        <v>438</v>
      </c>
      <c r="B1249" s="140" t="s">
        <v>105</v>
      </c>
      <c r="C1249" s="140" t="s">
        <v>104</v>
      </c>
      <c r="D1249" s="141"/>
      <c r="E1249" s="163" t="s">
        <v>102</v>
      </c>
      <c r="F1249" s="149">
        <f>3.3*4</f>
        <v>13.2</v>
      </c>
      <c r="G1249" s="124">
        <v>0.1</v>
      </c>
      <c r="H1249" s="143">
        <f>F1249*(1+G1249)</f>
        <v>14.52</v>
      </c>
      <c r="I1249" s="145" t="s">
        <v>15</v>
      </c>
      <c r="J1249" s="37">
        <f>J$148</f>
        <v>0</v>
      </c>
      <c r="K1249" s="159">
        <f>J1249*H1249</f>
        <v>0</v>
      </c>
      <c r="L1249" s="160"/>
    </row>
    <row r="1250" spans="1:12" s="21" customFormat="1" x14ac:dyDescent="0.2">
      <c r="A1250" s="129">
        <f>IF(F1250&lt;&gt;"",1+MAX($A$7:A1249),"")</f>
        <v>439</v>
      </c>
      <c r="B1250" s="140" t="s">
        <v>105</v>
      </c>
      <c r="C1250" s="140" t="s">
        <v>104</v>
      </c>
      <c r="D1250" s="149"/>
      <c r="E1250" s="163" t="s">
        <v>126</v>
      </c>
      <c r="F1250" s="149">
        <f>3.3*9</f>
        <v>29.7</v>
      </c>
      <c r="G1250" s="124">
        <v>0.1</v>
      </c>
      <c r="H1250" s="143">
        <f>F1250*(1+G1250)</f>
        <v>32.67</v>
      </c>
      <c r="I1250" s="145" t="s">
        <v>18</v>
      </c>
      <c r="J1250" s="37">
        <f>J$149</f>
        <v>0</v>
      </c>
      <c r="K1250" s="159">
        <f>J1250*H1250</f>
        <v>0</v>
      </c>
      <c r="L1250" s="160"/>
    </row>
    <row r="1251" spans="1:12" s="21" customFormat="1" x14ac:dyDescent="0.2">
      <c r="A1251" s="129" t="str">
        <f>IF(F1251&lt;&gt;"",1+MAX($A$7:A1250),"")</f>
        <v/>
      </c>
      <c r="B1251" s="140"/>
      <c r="C1251" s="140"/>
      <c r="D1251" s="141"/>
      <c r="E1251" s="165" t="s">
        <v>49</v>
      </c>
      <c r="F1251" s="149"/>
      <c r="G1251" s="124"/>
      <c r="H1251" s="143">
        <f>(3.3/1.167+1)</f>
        <v>3.8277634961439588</v>
      </c>
      <c r="I1251" s="145" t="s">
        <v>20</v>
      </c>
      <c r="J1251" s="37"/>
      <c r="K1251" s="159"/>
      <c r="L1251" s="160"/>
    </row>
    <row r="1252" spans="1:12" s="21" customFormat="1" x14ac:dyDescent="0.2">
      <c r="A1252" s="129">
        <f>IF(F1252&lt;&gt;"",1+MAX($A$7:A1251),"")</f>
        <v>440</v>
      </c>
      <c r="B1252" s="140" t="s">
        <v>105</v>
      </c>
      <c r="C1252" s="140" t="s">
        <v>104</v>
      </c>
      <c r="D1252" s="141"/>
      <c r="E1252" s="163" t="s">
        <v>127</v>
      </c>
      <c r="F1252" s="149">
        <f>3.3*4</f>
        <v>13.2</v>
      </c>
      <c r="G1252" s="124">
        <v>0.1</v>
      </c>
      <c r="H1252" s="143">
        <f>F1252*(1+G1252)</f>
        <v>14.52</v>
      </c>
      <c r="I1252" s="145" t="s">
        <v>15</v>
      </c>
      <c r="J1252" s="37">
        <f>J$151</f>
        <v>0</v>
      </c>
      <c r="K1252" s="159">
        <f>J1252*H1252</f>
        <v>0</v>
      </c>
      <c r="L1252" s="160"/>
    </row>
    <row r="1253" spans="1:12" s="21" customFormat="1" x14ac:dyDescent="0.2">
      <c r="A1253" s="129" t="str">
        <f>IF(F1253&lt;&gt;"",1+MAX($A$7:A1252),"")</f>
        <v/>
      </c>
      <c r="B1253" s="140"/>
      <c r="C1253" s="140"/>
      <c r="D1253" s="141"/>
      <c r="E1253" s="163"/>
      <c r="F1253" s="149"/>
      <c r="G1253" s="124"/>
      <c r="H1253" s="143"/>
      <c r="I1253" s="145"/>
      <c r="J1253" s="37"/>
      <c r="K1253" s="159"/>
      <c r="L1253" s="160"/>
    </row>
    <row r="1254" spans="1:12" s="21" customFormat="1" x14ac:dyDescent="0.2">
      <c r="A1254" s="129" t="str">
        <f>IF(F1254&lt;&gt;"",1+MAX($A$7:A1253),"")</f>
        <v/>
      </c>
      <c r="B1254" s="140"/>
      <c r="C1254" s="140"/>
      <c r="D1254" s="141"/>
      <c r="E1254" s="158" t="s">
        <v>145</v>
      </c>
      <c r="F1254" s="149"/>
      <c r="G1254" s="144"/>
      <c r="H1254" s="143"/>
      <c r="I1254" s="145"/>
      <c r="J1254" s="37"/>
      <c r="K1254" s="159"/>
      <c r="L1254" s="160"/>
    </row>
    <row r="1255" spans="1:12" s="21" customFormat="1" x14ac:dyDescent="0.2">
      <c r="A1255" s="129">
        <f>IF(F1255&lt;&gt;"",1+MAX($A$7:A1254),"")</f>
        <v>441</v>
      </c>
      <c r="B1255" s="140" t="s">
        <v>105</v>
      </c>
      <c r="C1255" s="140" t="s">
        <v>104</v>
      </c>
      <c r="D1255" s="149"/>
      <c r="E1255" s="163" t="s">
        <v>115</v>
      </c>
      <c r="F1255" s="149">
        <f>33*9</f>
        <v>297</v>
      </c>
      <c r="G1255" s="124">
        <v>0.1</v>
      </c>
      <c r="H1255" s="143">
        <f>F1255*(1+G1255)</f>
        <v>326.70000000000005</v>
      </c>
      <c r="I1255" s="145" t="s">
        <v>18</v>
      </c>
      <c r="J1255" s="37">
        <f>J$143</f>
        <v>0</v>
      </c>
      <c r="K1255" s="159">
        <f>J1255*H1255</f>
        <v>0</v>
      </c>
      <c r="L1255" s="160"/>
    </row>
    <row r="1256" spans="1:12" s="21" customFormat="1" x14ac:dyDescent="0.2">
      <c r="A1256" s="129" t="str">
        <f>IF(F1256&lt;&gt;"",1+MAX($A$7:A1255),"")</f>
        <v/>
      </c>
      <c r="B1256" s="140"/>
      <c r="C1256" s="140"/>
      <c r="D1256" s="141"/>
      <c r="E1256" s="165" t="s">
        <v>41</v>
      </c>
      <c r="F1256" s="166"/>
      <c r="G1256" s="167"/>
      <c r="H1256" s="143">
        <f>ROUNDUP((H1255)/32,0)</f>
        <v>11</v>
      </c>
      <c r="I1256" s="145" t="s">
        <v>42</v>
      </c>
      <c r="J1256" s="37"/>
      <c r="K1256" s="159"/>
      <c r="L1256" s="160"/>
    </row>
    <row r="1257" spans="1:12" s="21" customFormat="1" x14ac:dyDescent="0.2">
      <c r="A1257" s="129" t="str">
        <f>IF(F1257&lt;&gt;"",1+MAX($A$7:A1256),"")</f>
        <v/>
      </c>
      <c r="B1257" s="140"/>
      <c r="C1257" s="140"/>
      <c r="D1257" s="141"/>
      <c r="E1257" s="165" t="s">
        <v>43</v>
      </c>
      <c r="F1257" s="166"/>
      <c r="G1257" s="167"/>
      <c r="H1257" s="143">
        <f>ROUNDUP(H1256*24/500,0)</f>
        <v>1</v>
      </c>
      <c r="I1257" s="145" t="s">
        <v>44</v>
      </c>
      <c r="J1257" s="37"/>
      <c r="K1257" s="159"/>
      <c r="L1257" s="160"/>
    </row>
    <row r="1258" spans="1:12" s="21" customFormat="1" x14ac:dyDescent="0.2">
      <c r="A1258" s="129" t="str">
        <f>IF(F1258&lt;&gt;"",1+MAX($A$7:A1257),"")</f>
        <v/>
      </c>
      <c r="B1258" s="140"/>
      <c r="C1258" s="140"/>
      <c r="D1258" s="141"/>
      <c r="E1258" s="165" t="s">
        <v>45</v>
      </c>
      <c r="F1258" s="166"/>
      <c r="G1258" s="167"/>
      <c r="H1258" s="168">
        <f>ROUNDUP((H1255)/200,0)</f>
        <v>2</v>
      </c>
      <c r="I1258" s="145" t="s">
        <v>46</v>
      </c>
      <c r="J1258" s="37"/>
      <c r="K1258" s="159"/>
      <c r="L1258" s="160"/>
    </row>
    <row r="1259" spans="1:12" s="21" customFormat="1" x14ac:dyDescent="0.2">
      <c r="A1259" s="129" t="str">
        <f>IF(F1259&lt;&gt;"",1+MAX($A$7:A1258),"")</f>
        <v/>
      </c>
      <c r="B1259" s="140"/>
      <c r="C1259" s="140"/>
      <c r="D1259" s="141"/>
      <c r="E1259" s="165" t="s">
        <v>47</v>
      </c>
      <c r="F1259" s="166"/>
      <c r="G1259" s="167"/>
      <c r="H1259" s="168">
        <f>ROUNDUP((H1255)*5.25/1000,0)</f>
        <v>2</v>
      </c>
      <c r="I1259" s="145" t="s">
        <v>48</v>
      </c>
      <c r="J1259" s="37"/>
      <c r="K1259" s="159"/>
      <c r="L1259" s="160"/>
    </row>
    <row r="1260" spans="1:12" s="21" customFormat="1" x14ac:dyDescent="0.2">
      <c r="A1260" s="129">
        <f>IF(F1260&lt;&gt;"",1+MAX($A$7:A1259),"")</f>
        <v>442</v>
      </c>
      <c r="B1260" s="140" t="s">
        <v>105</v>
      </c>
      <c r="C1260" s="140" t="s">
        <v>104</v>
      </c>
      <c r="D1260" s="149"/>
      <c r="E1260" s="163" t="s">
        <v>101</v>
      </c>
      <c r="F1260" s="149">
        <f>106.5*9</f>
        <v>958.5</v>
      </c>
      <c r="G1260" s="124">
        <v>0.1</v>
      </c>
      <c r="H1260" s="143">
        <f>F1260*(1+G1260)</f>
        <v>1054.3500000000001</v>
      </c>
      <c r="I1260" s="145" t="s">
        <v>18</v>
      </c>
      <c r="J1260" s="37">
        <f>J$160</f>
        <v>0</v>
      </c>
      <c r="K1260" s="159">
        <f>J1260*H1260</f>
        <v>0</v>
      </c>
      <c r="L1260" s="160"/>
    </row>
    <row r="1261" spans="1:12" s="21" customFormat="1" x14ac:dyDescent="0.2">
      <c r="A1261" s="129" t="str">
        <f>IF(F1261&lt;&gt;"",1+MAX($A$7:A1260),"")</f>
        <v/>
      </c>
      <c r="B1261" s="140"/>
      <c r="C1261" s="140"/>
      <c r="D1261" s="141"/>
      <c r="E1261" s="165" t="s">
        <v>41</v>
      </c>
      <c r="F1261" s="166"/>
      <c r="G1261" s="167"/>
      <c r="H1261" s="143">
        <f>ROUNDUP((H1260)/32,0)</f>
        <v>33</v>
      </c>
      <c r="I1261" s="145" t="s">
        <v>42</v>
      </c>
      <c r="J1261" s="37"/>
      <c r="K1261" s="159"/>
      <c r="L1261" s="160"/>
    </row>
    <row r="1262" spans="1:12" s="21" customFormat="1" x14ac:dyDescent="0.2">
      <c r="A1262" s="129" t="str">
        <f>IF(F1262&lt;&gt;"",1+MAX($A$7:A1261),"")</f>
        <v/>
      </c>
      <c r="B1262" s="140"/>
      <c r="C1262" s="140"/>
      <c r="D1262" s="141"/>
      <c r="E1262" s="165" t="s">
        <v>43</v>
      </c>
      <c r="F1262" s="166"/>
      <c r="G1262" s="167"/>
      <c r="H1262" s="143">
        <f>ROUNDUP(H1261*24/500,0)</f>
        <v>2</v>
      </c>
      <c r="I1262" s="145" t="s">
        <v>44</v>
      </c>
      <c r="J1262" s="37"/>
      <c r="K1262" s="159"/>
      <c r="L1262" s="160"/>
    </row>
    <row r="1263" spans="1:12" s="21" customFormat="1" x14ac:dyDescent="0.2">
      <c r="A1263" s="129" t="str">
        <f>IF(F1263&lt;&gt;"",1+MAX($A$7:A1262),"")</f>
        <v/>
      </c>
      <c r="B1263" s="140"/>
      <c r="C1263" s="140"/>
      <c r="D1263" s="141"/>
      <c r="E1263" s="165" t="s">
        <v>45</v>
      </c>
      <c r="F1263" s="166"/>
      <c r="G1263" s="167"/>
      <c r="H1263" s="168">
        <f>ROUNDUP((H1260)/200,0)</f>
        <v>6</v>
      </c>
      <c r="I1263" s="145" t="s">
        <v>46</v>
      </c>
      <c r="J1263" s="37"/>
      <c r="K1263" s="159"/>
      <c r="L1263" s="160"/>
    </row>
    <row r="1264" spans="1:12" s="21" customFormat="1" x14ac:dyDescent="0.2">
      <c r="A1264" s="129" t="str">
        <f>IF(F1264&lt;&gt;"",1+MAX($A$7:A1263),"")</f>
        <v/>
      </c>
      <c r="B1264" s="140"/>
      <c r="C1264" s="140"/>
      <c r="D1264" s="141"/>
      <c r="E1264" s="165" t="s">
        <v>47</v>
      </c>
      <c r="F1264" s="166"/>
      <c r="G1264" s="167"/>
      <c r="H1264" s="168">
        <f>ROUNDUP((H1260)*5.25/1000,0)</f>
        <v>6</v>
      </c>
      <c r="I1264" s="145" t="s">
        <v>48</v>
      </c>
      <c r="J1264" s="37"/>
      <c r="K1264" s="159"/>
      <c r="L1264" s="160"/>
    </row>
    <row r="1265" spans="1:12" s="21" customFormat="1" x14ac:dyDescent="0.2">
      <c r="A1265" s="129">
        <f>IF(F1265&lt;&gt;"",1+MAX($A$7:A1264),"")</f>
        <v>443</v>
      </c>
      <c r="B1265" s="140" t="s">
        <v>105</v>
      </c>
      <c r="C1265" s="140" t="s">
        <v>104</v>
      </c>
      <c r="D1265" s="141"/>
      <c r="E1265" s="163" t="s">
        <v>102</v>
      </c>
      <c r="F1265" s="149">
        <f>139.5*2</f>
        <v>279</v>
      </c>
      <c r="G1265" s="124">
        <v>0.1</v>
      </c>
      <c r="H1265" s="143">
        <f>F1265*(1+G1265)</f>
        <v>306.90000000000003</v>
      </c>
      <c r="I1265" s="145" t="s">
        <v>15</v>
      </c>
      <c r="J1265" s="37">
        <f>J$148</f>
        <v>0</v>
      </c>
      <c r="K1265" s="159">
        <f>J1265*H1265</f>
        <v>0</v>
      </c>
      <c r="L1265" s="160"/>
    </row>
    <row r="1266" spans="1:12" s="21" customFormat="1" x14ac:dyDescent="0.2">
      <c r="A1266" s="129" t="str">
        <f>IF(F1266&lt;&gt;"",1+MAX($A$7:A1265),"")</f>
        <v/>
      </c>
      <c r="B1266" s="140"/>
      <c r="C1266" s="140"/>
      <c r="D1266" s="141"/>
      <c r="E1266" s="163"/>
      <c r="F1266" s="149"/>
      <c r="G1266" s="124"/>
      <c r="H1266" s="143"/>
      <c r="I1266" s="145"/>
      <c r="J1266" s="37"/>
      <c r="K1266" s="159"/>
      <c r="L1266" s="160"/>
    </row>
    <row r="1267" spans="1:12" s="21" customFormat="1" x14ac:dyDescent="0.2">
      <c r="A1267" s="129" t="str">
        <f>IF(F1267&lt;&gt;"",1+MAX($A$7:A1266),"")</f>
        <v/>
      </c>
      <c r="B1267" s="140"/>
      <c r="C1267" s="140"/>
      <c r="D1267" s="141"/>
      <c r="E1267" s="158" t="s">
        <v>151</v>
      </c>
      <c r="F1267" s="149"/>
      <c r="G1267" s="144"/>
      <c r="H1267" s="143"/>
      <c r="I1267" s="145"/>
      <c r="J1267" s="37"/>
      <c r="K1267" s="159"/>
      <c r="L1267" s="160"/>
    </row>
    <row r="1268" spans="1:12" s="21" customFormat="1" x14ac:dyDescent="0.2">
      <c r="A1268" s="129">
        <f>IF(F1268&lt;&gt;"",1+MAX($A$7:A1267),"")</f>
        <v>444</v>
      </c>
      <c r="B1268" s="140" t="s">
        <v>105</v>
      </c>
      <c r="C1268" s="140" t="s">
        <v>147</v>
      </c>
      <c r="D1268" s="149"/>
      <c r="E1268" s="163" t="s">
        <v>115</v>
      </c>
      <c r="F1268" s="149">
        <f>674.2*9</f>
        <v>6067.8</v>
      </c>
      <c r="G1268" s="124">
        <v>0.1</v>
      </c>
      <c r="H1268" s="143">
        <f>F1268*(1+G1268)</f>
        <v>6674.5800000000008</v>
      </c>
      <c r="I1268" s="145" t="s">
        <v>18</v>
      </c>
      <c r="J1268" s="37">
        <f>J$143</f>
        <v>0</v>
      </c>
      <c r="K1268" s="159">
        <f>J1268*H1268</f>
        <v>0</v>
      </c>
      <c r="L1268" s="160"/>
    </row>
    <row r="1269" spans="1:12" s="21" customFormat="1" x14ac:dyDescent="0.2">
      <c r="A1269" s="129" t="str">
        <f>IF(F1269&lt;&gt;"",1+MAX($A$7:A1268),"")</f>
        <v/>
      </c>
      <c r="B1269" s="140"/>
      <c r="C1269" s="140"/>
      <c r="D1269" s="141"/>
      <c r="E1269" s="165" t="s">
        <v>41</v>
      </c>
      <c r="F1269" s="166"/>
      <c r="G1269" s="167"/>
      <c r="H1269" s="143">
        <f>ROUNDUP((H1268)/32,0)</f>
        <v>209</v>
      </c>
      <c r="I1269" s="145" t="s">
        <v>42</v>
      </c>
      <c r="J1269" s="37"/>
      <c r="K1269" s="159"/>
      <c r="L1269" s="160"/>
    </row>
    <row r="1270" spans="1:12" s="21" customFormat="1" x14ac:dyDescent="0.2">
      <c r="A1270" s="129" t="str">
        <f>IF(F1270&lt;&gt;"",1+MAX($A$7:A1269),"")</f>
        <v/>
      </c>
      <c r="B1270" s="140"/>
      <c r="C1270" s="140"/>
      <c r="D1270" s="141"/>
      <c r="E1270" s="165" t="s">
        <v>43</v>
      </c>
      <c r="F1270" s="166"/>
      <c r="G1270" s="167"/>
      <c r="H1270" s="143">
        <f>ROUNDUP(H1269*24/500,0)</f>
        <v>11</v>
      </c>
      <c r="I1270" s="145" t="s">
        <v>44</v>
      </c>
      <c r="J1270" s="37"/>
      <c r="K1270" s="159"/>
      <c r="L1270" s="160"/>
    </row>
    <row r="1271" spans="1:12" s="21" customFormat="1" x14ac:dyDescent="0.2">
      <c r="A1271" s="129" t="str">
        <f>IF(F1271&lt;&gt;"",1+MAX($A$7:A1270),"")</f>
        <v/>
      </c>
      <c r="B1271" s="140"/>
      <c r="C1271" s="140"/>
      <c r="D1271" s="141"/>
      <c r="E1271" s="165" t="s">
        <v>45</v>
      </c>
      <c r="F1271" s="166"/>
      <c r="G1271" s="167"/>
      <c r="H1271" s="168">
        <f>ROUNDUP((H1268)/200,0)</f>
        <v>34</v>
      </c>
      <c r="I1271" s="145" t="s">
        <v>46</v>
      </c>
      <c r="J1271" s="37"/>
      <c r="K1271" s="159"/>
      <c r="L1271" s="160"/>
    </row>
    <row r="1272" spans="1:12" s="21" customFormat="1" x14ac:dyDescent="0.2">
      <c r="A1272" s="129" t="str">
        <f>IF(F1272&lt;&gt;"",1+MAX($A$7:A1271),"")</f>
        <v/>
      </c>
      <c r="B1272" s="140"/>
      <c r="C1272" s="140"/>
      <c r="D1272" s="141"/>
      <c r="E1272" s="165" t="s">
        <v>47</v>
      </c>
      <c r="F1272" s="166"/>
      <c r="G1272" s="167"/>
      <c r="H1272" s="168">
        <f>ROUNDUP((H1268)*5.25/1000,0)</f>
        <v>36</v>
      </c>
      <c r="I1272" s="145" t="s">
        <v>48</v>
      </c>
      <c r="J1272" s="37"/>
      <c r="K1272" s="159"/>
      <c r="L1272" s="160"/>
    </row>
    <row r="1273" spans="1:12" s="21" customFormat="1" x14ac:dyDescent="0.2">
      <c r="A1273" s="129">
        <f>IF(F1273&lt;&gt;"",1+MAX($A$7:A1272),"")</f>
        <v>445</v>
      </c>
      <c r="B1273" s="140" t="s">
        <v>105</v>
      </c>
      <c r="C1273" s="140" t="s">
        <v>147</v>
      </c>
      <c r="D1273" s="141"/>
      <c r="E1273" s="163" t="s">
        <v>102</v>
      </c>
      <c r="F1273" s="149">
        <f>674.2*2</f>
        <v>1348.4</v>
      </c>
      <c r="G1273" s="124">
        <v>0.1</v>
      </c>
      <c r="H1273" s="143">
        <f>F1273*(1+G1273)</f>
        <v>1483.2400000000002</v>
      </c>
      <c r="I1273" s="145" t="s">
        <v>15</v>
      </c>
      <c r="J1273" s="37">
        <f>J$148</f>
        <v>0</v>
      </c>
      <c r="K1273" s="159">
        <f>J1273*H1273</f>
        <v>0</v>
      </c>
      <c r="L1273" s="160"/>
    </row>
    <row r="1274" spans="1:12" s="21" customFormat="1" x14ac:dyDescent="0.2">
      <c r="A1274" s="129">
        <f>IF(F1274&lt;&gt;"",1+MAX($A$7:A1273),"")</f>
        <v>446</v>
      </c>
      <c r="B1274" s="140" t="s">
        <v>105</v>
      </c>
      <c r="C1274" s="140" t="s">
        <v>147</v>
      </c>
      <c r="D1274" s="149"/>
      <c r="E1274" s="163" t="s">
        <v>349</v>
      </c>
      <c r="F1274" s="149">
        <f>674.2*9</f>
        <v>6067.8</v>
      </c>
      <c r="G1274" s="124">
        <v>0.1</v>
      </c>
      <c r="H1274" s="143">
        <f>F1274*(1+G1274)</f>
        <v>6674.5800000000008</v>
      </c>
      <c r="I1274" s="145" t="s">
        <v>18</v>
      </c>
      <c r="J1274" s="37">
        <f>J$276</f>
        <v>0</v>
      </c>
      <c r="K1274" s="159">
        <f>J1274*H1274</f>
        <v>0</v>
      </c>
      <c r="L1274" s="160"/>
    </row>
    <row r="1275" spans="1:12" s="21" customFormat="1" x14ac:dyDescent="0.2">
      <c r="A1275" s="129">
        <f>IF(F1275&lt;&gt;"",1+MAX($A$7:A1274),"")</f>
        <v>447</v>
      </c>
      <c r="B1275" s="140" t="s">
        <v>105</v>
      </c>
      <c r="C1275" s="140" t="s">
        <v>147</v>
      </c>
      <c r="D1275" s="149"/>
      <c r="E1275" s="163" t="s">
        <v>149</v>
      </c>
      <c r="F1275" s="149">
        <f>674.2*10.67</f>
        <v>7193.7140000000009</v>
      </c>
      <c r="G1275" s="124">
        <v>0.1</v>
      </c>
      <c r="H1275" s="143">
        <f>F1275*(1+G1275)</f>
        <v>7913.0854000000018</v>
      </c>
      <c r="I1275" s="145" t="s">
        <v>18</v>
      </c>
      <c r="J1275" s="37">
        <f>J$442</f>
        <v>0</v>
      </c>
      <c r="K1275" s="159">
        <f>J1275*H1275</f>
        <v>0</v>
      </c>
      <c r="L1275" s="160"/>
    </row>
    <row r="1276" spans="1:12" s="21" customFormat="1" x14ac:dyDescent="0.2">
      <c r="A1276" s="129" t="str">
        <f>IF(F1276&lt;&gt;"",1+MAX($A$7:A1275),"")</f>
        <v/>
      </c>
      <c r="B1276" s="140"/>
      <c r="C1276" s="140"/>
      <c r="D1276" s="141"/>
      <c r="E1276" s="163"/>
      <c r="F1276" s="149"/>
      <c r="G1276" s="124"/>
      <c r="H1276" s="143"/>
      <c r="I1276" s="145"/>
      <c r="J1276" s="37"/>
      <c r="K1276" s="159"/>
      <c r="L1276" s="160"/>
    </row>
    <row r="1277" spans="1:12" s="21" customFormat="1" x14ac:dyDescent="0.2">
      <c r="A1277" s="129" t="str">
        <f>IF(F1277&lt;&gt;"",1+MAX($A$7:A1276),"")</f>
        <v/>
      </c>
      <c r="B1277" s="140"/>
      <c r="C1277" s="140"/>
      <c r="D1277" s="141"/>
      <c r="E1277" s="158" t="s">
        <v>152</v>
      </c>
      <c r="F1277" s="149"/>
      <c r="G1277" s="144"/>
      <c r="H1277" s="143"/>
      <c r="I1277" s="145"/>
      <c r="J1277" s="37"/>
      <c r="K1277" s="159"/>
      <c r="L1277" s="160"/>
    </row>
    <row r="1278" spans="1:12" s="21" customFormat="1" x14ac:dyDescent="0.2">
      <c r="A1278" s="129">
        <f>IF(F1278&lt;&gt;"",1+MAX($A$7:A1277),"")</f>
        <v>448</v>
      </c>
      <c r="B1278" s="140" t="s">
        <v>105</v>
      </c>
      <c r="C1278" s="140" t="s">
        <v>147</v>
      </c>
      <c r="D1278" s="149"/>
      <c r="E1278" s="163" t="s">
        <v>133</v>
      </c>
      <c r="F1278" s="149">
        <f>59.7*9*2</f>
        <v>1074.6000000000001</v>
      </c>
      <c r="G1278" s="124">
        <v>0.1</v>
      </c>
      <c r="H1278" s="143">
        <f>F1278*(1+G1278)</f>
        <v>1182.0600000000002</v>
      </c>
      <c r="I1278" s="145" t="s">
        <v>18</v>
      </c>
      <c r="J1278" s="37">
        <f>J$143</f>
        <v>0</v>
      </c>
      <c r="K1278" s="159">
        <f>J1278*H1278</f>
        <v>0</v>
      </c>
      <c r="L1278" s="160"/>
    </row>
    <row r="1279" spans="1:12" s="21" customFormat="1" x14ac:dyDescent="0.2">
      <c r="A1279" s="129" t="str">
        <f>IF(F1279&lt;&gt;"",1+MAX($A$7:A1278),"")</f>
        <v/>
      </c>
      <c r="B1279" s="140"/>
      <c r="C1279" s="140"/>
      <c r="D1279" s="141"/>
      <c r="E1279" s="165" t="s">
        <v>41</v>
      </c>
      <c r="F1279" s="166"/>
      <c r="G1279" s="167"/>
      <c r="H1279" s="143">
        <f>ROUNDUP((H1278)/32,0)</f>
        <v>37</v>
      </c>
      <c r="I1279" s="145" t="s">
        <v>42</v>
      </c>
      <c r="J1279" s="37"/>
      <c r="K1279" s="159"/>
      <c r="L1279" s="160"/>
    </row>
    <row r="1280" spans="1:12" s="21" customFormat="1" x14ac:dyDescent="0.2">
      <c r="A1280" s="129" t="str">
        <f>IF(F1280&lt;&gt;"",1+MAX($A$7:A1279),"")</f>
        <v/>
      </c>
      <c r="B1280" s="140"/>
      <c r="C1280" s="140"/>
      <c r="D1280" s="141"/>
      <c r="E1280" s="165" t="s">
        <v>43</v>
      </c>
      <c r="F1280" s="166"/>
      <c r="G1280" s="167"/>
      <c r="H1280" s="143">
        <f>ROUNDUP(H1279*24/500,0)</f>
        <v>2</v>
      </c>
      <c r="I1280" s="145" t="s">
        <v>44</v>
      </c>
      <c r="J1280" s="37"/>
      <c r="K1280" s="159"/>
      <c r="L1280" s="160"/>
    </row>
    <row r="1281" spans="1:12" s="21" customFormat="1" x14ac:dyDescent="0.2">
      <c r="A1281" s="129" t="str">
        <f>IF(F1281&lt;&gt;"",1+MAX($A$7:A1280),"")</f>
        <v/>
      </c>
      <c r="B1281" s="140"/>
      <c r="C1281" s="140"/>
      <c r="D1281" s="141"/>
      <c r="E1281" s="165" t="s">
        <v>45</v>
      </c>
      <c r="F1281" s="166"/>
      <c r="G1281" s="167"/>
      <c r="H1281" s="168">
        <f>ROUNDUP((H1278)/200,0)</f>
        <v>6</v>
      </c>
      <c r="I1281" s="145" t="s">
        <v>46</v>
      </c>
      <c r="J1281" s="37"/>
      <c r="K1281" s="159"/>
      <c r="L1281" s="160"/>
    </row>
    <row r="1282" spans="1:12" s="21" customFormat="1" x14ac:dyDescent="0.2">
      <c r="A1282" s="129" t="str">
        <f>IF(F1282&lt;&gt;"",1+MAX($A$7:A1281),"")</f>
        <v/>
      </c>
      <c r="B1282" s="140"/>
      <c r="C1282" s="140"/>
      <c r="D1282" s="141"/>
      <c r="E1282" s="165" t="s">
        <v>47</v>
      </c>
      <c r="F1282" s="166"/>
      <c r="G1282" s="167"/>
      <c r="H1282" s="168">
        <f>ROUNDUP((H1278)*5.25/1000,0)</f>
        <v>7</v>
      </c>
      <c r="I1282" s="145" t="s">
        <v>48</v>
      </c>
      <c r="J1282" s="37"/>
      <c r="K1282" s="159"/>
      <c r="L1282" s="160"/>
    </row>
    <row r="1283" spans="1:12" s="21" customFormat="1" x14ac:dyDescent="0.2">
      <c r="A1283" s="129">
        <f>IF(F1283&lt;&gt;"",1+MAX($A$7:A1282),"")</f>
        <v>449</v>
      </c>
      <c r="B1283" s="140" t="s">
        <v>105</v>
      </c>
      <c r="C1283" s="140" t="s">
        <v>147</v>
      </c>
      <c r="D1283" s="141"/>
      <c r="E1283" s="163" t="s">
        <v>102</v>
      </c>
      <c r="F1283" s="149">
        <f>59.7*2</f>
        <v>119.4</v>
      </c>
      <c r="G1283" s="124">
        <v>0.1</v>
      </c>
      <c r="H1283" s="143">
        <f>F1283*(1+G1283)</f>
        <v>131.34</v>
      </c>
      <c r="I1283" s="145" t="s">
        <v>15</v>
      </c>
      <c r="J1283" s="37">
        <f>J$148</f>
        <v>0</v>
      </c>
      <c r="K1283" s="159">
        <f>J1283*H1283</f>
        <v>0</v>
      </c>
      <c r="L1283" s="160"/>
    </row>
    <row r="1284" spans="1:12" s="21" customFormat="1" x14ac:dyDescent="0.2">
      <c r="A1284" s="129">
        <f>IF(F1284&lt;&gt;"",1+MAX($A$7:A1283),"")</f>
        <v>450</v>
      </c>
      <c r="B1284" s="140" t="s">
        <v>105</v>
      </c>
      <c r="C1284" s="140" t="s">
        <v>147</v>
      </c>
      <c r="D1284" s="149"/>
      <c r="E1284" s="163" t="s">
        <v>349</v>
      </c>
      <c r="F1284" s="149">
        <f>59.7*9</f>
        <v>537.30000000000007</v>
      </c>
      <c r="G1284" s="124">
        <v>0.1</v>
      </c>
      <c r="H1284" s="143">
        <f>F1284*(1+G1284)</f>
        <v>591.03000000000009</v>
      </c>
      <c r="I1284" s="145" t="s">
        <v>18</v>
      </c>
      <c r="J1284" s="37">
        <f>J$276</f>
        <v>0</v>
      </c>
      <c r="K1284" s="159">
        <f>J1284*H1284</f>
        <v>0</v>
      </c>
      <c r="L1284" s="160"/>
    </row>
    <row r="1285" spans="1:12" s="21" customFormat="1" x14ac:dyDescent="0.2">
      <c r="A1285" s="129">
        <f>IF(F1285&lt;&gt;"",1+MAX($A$7:A1284),"")</f>
        <v>451</v>
      </c>
      <c r="B1285" s="140" t="s">
        <v>105</v>
      </c>
      <c r="C1285" s="140" t="s">
        <v>147</v>
      </c>
      <c r="D1285" s="149"/>
      <c r="E1285" s="163" t="s">
        <v>149</v>
      </c>
      <c r="F1285" s="149">
        <f>59.7*10.67</f>
        <v>636.99900000000002</v>
      </c>
      <c r="G1285" s="124">
        <v>0.1</v>
      </c>
      <c r="H1285" s="143">
        <f>F1285*(1+G1285)</f>
        <v>700.69890000000009</v>
      </c>
      <c r="I1285" s="145" t="s">
        <v>18</v>
      </c>
      <c r="J1285" s="37">
        <f>J$442</f>
        <v>0</v>
      </c>
      <c r="K1285" s="159">
        <f>J1285*H1285</f>
        <v>0</v>
      </c>
      <c r="L1285" s="160"/>
    </row>
    <row r="1286" spans="1:12" s="21" customFormat="1" x14ac:dyDescent="0.2">
      <c r="A1286" s="129" t="str">
        <f>IF(F1286&lt;&gt;"",1+MAX($A$7:A1285),"")</f>
        <v/>
      </c>
      <c r="B1286" s="140"/>
      <c r="C1286" s="140"/>
      <c r="D1286" s="141"/>
      <c r="E1286" s="163"/>
      <c r="F1286" s="149"/>
      <c r="G1286" s="124"/>
      <c r="H1286" s="143"/>
      <c r="I1286" s="145"/>
      <c r="J1286" s="37"/>
      <c r="K1286" s="159"/>
      <c r="L1286" s="160"/>
    </row>
    <row r="1287" spans="1:12" s="21" customFormat="1" x14ac:dyDescent="0.2">
      <c r="A1287" s="129" t="str">
        <f>IF(F1287&lt;&gt;"",1+MAX($A$7:A1286),"")</f>
        <v/>
      </c>
      <c r="B1287" s="140"/>
      <c r="C1287" s="140"/>
      <c r="D1287" s="141"/>
      <c r="E1287" s="158" t="s">
        <v>199</v>
      </c>
      <c r="F1287" s="149"/>
      <c r="G1287" s="144"/>
      <c r="H1287" s="143"/>
      <c r="I1287" s="145"/>
      <c r="J1287" s="37"/>
      <c r="K1287" s="159"/>
      <c r="L1287" s="160"/>
    </row>
    <row r="1288" spans="1:12" s="21" customFormat="1" x14ac:dyDescent="0.2">
      <c r="A1288" s="129">
        <f>IF(F1288&lt;&gt;"",1+MAX($A$7:A1287),"")</f>
        <v>452</v>
      </c>
      <c r="B1288" s="140" t="s">
        <v>105</v>
      </c>
      <c r="C1288" s="140" t="s">
        <v>202</v>
      </c>
      <c r="D1288" s="149"/>
      <c r="E1288" s="163" t="s">
        <v>149</v>
      </c>
      <c r="F1288" s="149">
        <f>(10.3*2.83+40.2*3+253.4*3.83+163.4*3.67+51.5*4.83+150.4*4.5+105.9*4.67)*2</f>
        <v>6280.0940000000001</v>
      </c>
      <c r="G1288" s="124">
        <v>0.1</v>
      </c>
      <c r="H1288" s="143">
        <f>F1288*(1+G1288)</f>
        <v>6908.1034000000009</v>
      </c>
      <c r="I1288" s="145" t="s">
        <v>18</v>
      </c>
      <c r="J1288" s="37">
        <f>J$442</f>
        <v>0</v>
      </c>
      <c r="K1288" s="159">
        <f>J1288*H1288</f>
        <v>0</v>
      </c>
      <c r="L1288" s="160"/>
    </row>
    <row r="1289" spans="1:12" s="21" customFormat="1" x14ac:dyDescent="0.2">
      <c r="A1289" s="129">
        <f>IF(F1289&lt;&gt;"",1+MAX($A$7:A1288),"")</f>
        <v>453</v>
      </c>
      <c r="B1289" s="140" t="s">
        <v>105</v>
      </c>
      <c r="C1289" s="140" t="s">
        <v>202</v>
      </c>
      <c r="D1289" s="149"/>
      <c r="E1289" s="163" t="s">
        <v>349</v>
      </c>
      <c r="F1289" s="149">
        <f>10.3*2.83+40.2*3+253.4*3.83+163.4*3.67+51.5*4.83+150.4*4.5+105.9*4.67</f>
        <v>3140.047</v>
      </c>
      <c r="G1289" s="124">
        <v>0.1</v>
      </c>
      <c r="H1289" s="143">
        <f>F1289*(1+G1289)</f>
        <v>3454.0517000000004</v>
      </c>
      <c r="I1289" s="145" t="s">
        <v>18</v>
      </c>
      <c r="J1289" s="37">
        <f>J$276</f>
        <v>0</v>
      </c>
      <c r="K1289" s="159">
        <f>J1289*H1289</f>
        <v>0</v>
      </c>
      <c r="L1289" s="160"/>
    </row>
    <row r="1290" spans="1:12" s="21" customFormat="1" x14ac:dyDescent="0.2">
      <c r="A1290" s="129" t="str">
        <f>IF(F1290&lt;&gt;"",1+MAX($A$7:A1289),"")</f>
        <v/>
      </c>
      <c r="B1290" s="140"/>
      <c r="C1290" s="140"/>
      <c r="D1290" s="141"/>
      <c r="E1290" s="163"/>
      <c r="F1290" s="149"/>
      <c r="G1290" s="124"/>
      <c r="H1290" s="143"/>
      <c r="I1290" s="145"/>
      <c r="J1290" s="37"/>
      <c r="K1290" s="159"/>
      <c r="L1290" s="160"/>
    </row>
    <row r="1291" spans="1:12" s="21" customFormat="1" x14ac:dyDescent="0.2">
      <c r="A1291" s="129" t="str">
        <f>IF(F1291&lt;&gt;"",1+MAX($A$7:A1290),"")</f>
        <v/>
      </c>
      <c r="B1291" s="140"/>
      <c r="C1291" s="140"/>
      <c r="D1291" s="141"/>
      <c r="E1291" s="164" t="s">
        <v>190</v>
      </c>
      <c r="F1291" s="149"/>
      <c r="G1291" s="144"/>
      <c r="H1291" s="143"/>
      <c r="I1291" s="145"/>
      <c r="J1291" s="37"/>
      <c r="K1291" s="159"/>
      <c r="L1291" s="160"/>
    </row>
    <row r="1292" spans="1:12" s="21" customFormat="1" x14ac:dyDescent="0.2">
      <c r="A1292" s="129" t="str">
        <f>IF(F1292&lt;&gt;"",1+MAX($A$7:A1291),"")</f>
        <v/>
      </c>
      <c r="B1292" s="140"/>
      <c r="C1292" s="140"/>
      <c r="D1292" s="141"/>
      <c r="E1292" s="158" t="s">
        <v>106</v>
      </c>
      <c r="F1292" s="149"/>
      <c r="G1292" s="144"/>
      <c r="H1292" s="143"/>
      <c r="I1292" s="145"/>
      <c r="J1292" s="37"/>
      <c r="K1292" s="159"/>
      <c r="L1292" s="160"/>
    </row>
    <row r="1293" spans="1:12" s="21" customFormat="1" x14ac:dyDescent="0.2">
      <c r="A1293" s="129">
        <f>IF(F1293&lt;&gt;"",1+MAX($A$7:A1292),"")</f>
        <v>454</v>
      </c>
      <c r="B1293" s="140" t="s">
        <v>105</v>
      </c>
      <c r="C1293" s="140" t="s">
        <v>104</v>
      </c>
      <c r="D1293" s="149"/>
      <c r="E1293" s="163" t="s">
        <v>100</v>
      </c>
      <c r="F1293" s="149">
        <f>14*3.5*2</f>
        <v>98</v>
      </c>
      <c r="G1293" s="124">
        <v>0.1</v>
      </c>
      <c r="H1293" s="143">
        <f>F1293*(1+G1293)</f>
        <v>107.80000000000001</v>
      </c>
      <c r="I1293" s="145" t="s">
        <v>18</v>
      </c>
      <c r="J1293" s="37">
        <f>J$143</f>
        <v>0</v>
      </c>
      <c r="K1293" s="159">
        <f>J1293*H1293</f>
        <v>0</v>
      </c>
      <c r="L1293" s="160"/>
    </row>
    <row r="1294" spans="1:12" s="21" customFormat="1" x14ac:dyDescent="0.2">
      <c r="A1294" s="129" t="str">
        <f>IF(F1294&lt;&gt;"",1+MAX($A$7:A1293),"")</f>
        <v/>
      </c>
      <c r="B1294" s="140"/>
      <c r="C1294" s="140"/>
      <c r="D1294" s="141"/>
      <c r="E1294" s="165" t="s">
        <v>41</v>
      </c>
      <c r="F1294" s="166"/>
      <c r="G1294" s="167"/>
      <c r="H1294" s="143">
        <f>ROUNDUP((H1293)/32,0)</f>
        <v>4</v>
      </c>
      <c r="I1294" s="145" t="s">
        <v>42</v>
      </c>
      <c r="J1294" s="37"/>
      <c r="K1294" s="159"/>
      <c r="L1294" s="160"/>
    </row>
    <row r="1295" spans="1:12" s="21" customFormat="1" x14ac:dyDescent="0.2">
      <c r="A1295" s="129" t="str">
        <f>IF(F1295&lt;&gt;"",1+MAX($A$7:A1294),"")</f>
        <v/>
      </c>
      <c r="B1295" s="140"/>
      <c r="C1295" s="140"/>
      <c r="D1295" s="141"/>
      <c r="E1295" s="165" t="s">
        <v>43</v>
      </c>
      <c r="F1295" s="166"/>
      <c r="G1295" s="167"/>
      <c r="H1295" s="143">
        <f>ROUNDUP(H1294*24/500,0)</f>
        <v>1</v>
      </c>
      <c r="I1295" s="145" t="s">
        <v>44</v>
      </c>
      <c r="J1295" s="37"/>
      <c r="K1295" s="159"/>
      <c r="L1295" s="160"/>
    </row>
    <row r="1296" spans="1:12" s="21" customFormat="1" x14ac:dyDescent="0.2">
      <c r="A1296" s="129" t="str">
        <f>IF(F1296&lt;&gt;"",1+MAX($A$7:A1295),"")</f>
        <v/>
      </c>
      <c r="B1296" s="140"/>
      <c r="C1296" s="140"/>
      <c r="D1296" s="141"/>
      <c r="E1296" s="165" t="s">
        <v>45</v>
      </c>
      <c r="F1296" s="166"/>
      <c r="G1296" s="167"/>
      <c r="H1296" s="168">
        <f>ROUNDUP((H1293)/200,0)</f>
        <v>1</v>
      </c>
      <c r="I1296" s="145" t="s">
        <v>46</v>
      </c>
      <c r="J1296" s="37"/>
      <c r="K1296" s="159"/>
      <c r="L1296" s="160"/>
    </row>
    <row r="1297" spans="1:12" s="21" customFormat="1" x14ac:dyDescent="0.2">
      <c r="A1297" s="129" t="str">
        <f>IF(F1297&lt;&gt;"",1+MAX($A$7:A1296),"")</f>
        <v/>
      </c>
      <c r="B1297" s="140"/>
      <c r="C1297" s="140"/>
      <c r="D1297" s="141"/>
      <c r="E1297" s="165" t="s">
        <v>47</v>
      </c>
      <c r="F1297" s="166"/>
      <c r="G1297" s="167"/>
      <c r="H1297" s="168">
        <f>ROUNDUP((H1293)*5.25/1000,0)</f>
        <v>1</v>
      </c>
      <c r="I1297" s="145" t="s">
        <v>48</v>
      </c>
      <c r="J1297" s="37"/>
      <c r="K1297" s="159"/>
      <c r="L1297" s="160"/>
    </row>
    <row r="1298" spans="1:12" s="21" customFormat="1" x14ac:dyDescent="0.2">
      <c r="A1298" s="129">
        <f>IF(F1298&lt;&gt;"",1+MAX($A$7:A1297),"")</f>
        <v>455</v>
      </c>
      <c r="B1298" s="140" t="s">
        <v>105</v>
      </c>
      <c r="C1298" s="140" t="s">
        <v>104</v>
      </c>
      <c r="D1298" s="141"/>
      <c r="E1298" s="163" t="s">
        <v>102</v>
      </c>
      <c r="F1298" s="149">
        <f>14*4</f>
        <v>56</v>
      </c>
      <c r="G1298" s="124">
        <v>0.1</v>
      </c>
      <c r="H1298" s="143">
        <f>F1298*(1+G1298)</f>
        <v>61.600000000000009</v>
      </c>
      <c r="I1298" s="145" t="s">
        <v>15</v>
      </c>
      <c r="J1298" s="37">
        <f>J$148</f>
        <v>0</v>
      </c>
      <c r="K1298" s="159">
        <f>J1298*H1298</f>
        <v>0</v>
      </c>
      <c r="L1298" s="160"/>
    </row>
    <row r="1299" spans="1:12" s="21" customFormat="1" x14ac:dyDescent="0.2">
      <c r="A1299" s="129" t="str">
        <f>IF(F1299&lt;&gt;"",1+MAX($A$7:A1298),"")</f>
        <v/>
      </c>
      <c r="B1299" s="140"/>
      <c r="C1299" s="140"/>
      <c r="D1299" s="141"/>
      <c r="E1299" s="163"/>
      <c r="F1299" s="149"/>
      <c r="G1299" s="124"/>
      <c r="H1299" s="143"/>
      <c r="I1299" s="145"/>
      <c r="J1299" s="37"/>
      <c r="K1299" s="159"/>
      <c r="L1299" s="160"/>
    </row>
    <row r="1300" spans="1:12" s="21" customFormat="1" x14ac:dyDescent="0.2">
      <c r="A1300" s="129" t="str">
        <f>IF(F1300&lt;&gt;"",1+MAX($A$7:A1299),"")</f>
        <v/>
      </c>
      <c r="B1300" s="140"/>
      <c r="C1300" s="140"/>
      <c r="D1300" s="141"/>
      <c r="E1300" s="158" t="s">
        <v>151</v>
      </c>
      <c r="F1300" s="149"/>
      <c r="G1300" s="144"/>
      <c r="H1300" s="143"/>
      <c r="I1300" s="145"/>
      <c r="J1300" s="37"/>
      <c r="K1300" s="159"/>
      <c r="L1300" s="160"/>
    </row>
    <row r="1301" spans="1:12" s="21" customFormat="1" x14ac:dyDescent="0.2">
      <c r="A1301" s="129">
        <f>IF(F1301&lt;&gt;"",1+MAX($A$7:A1300),"")</f>
        <v>456</v>
      </c>
      <c r="B1301" s="140" t="s">
        <v>105</v>
      </c>
      <c r="C1301" s="140" t="s">
        <v>147</v>
      </c>
      <c r="D1301" s="149"/>
      <c r="E1301" s="163" t="s">
        <v>115</v>
      </c>
      <c r="F1301" s="149">
        <f>93.8*9.25</f>
        <v>867.65</v>
      </c>
      <c r="G1301" s="124">
        <v>0.1</v>
      </c>
      <c r="H1301" s="143">
        <f>F1301*(1+G1301)</f>
        <v>954.41500000000008</v>
      </c>
      <c r="I1301" s="145" t="s">
        <v>18</v>
      </c>
      <c r="J1301" s="37">
        <f>J$143</f>
        <v>0</v>
      </c>
      <c r="K1301" s="159">
        <f>J1301*H1301</f>
        <v>0</v>
      </c>
      <c r="L1301" s="160"/>
    </row>
    <row r="1302" spans="1:12" s="21" customFormat="1" x14ac:dyDescent="0.2">
      <c r="A1302" s="129" t="str">
        <f>IF(F1302&lt;&gt;"",1+MAX($A$7:A1301),"")</f>
        <v/>
      </c>
      <c r="B1302" s="140"/>
      <c r="C1302" s="140"/>
      <c r="D1302" s="141"/>
      <c r="E1302" s="165" t="s">
        <v>41</v>
      </c>
      <c r="F1302" s="166"/>
      <c r="G1302" s="167"/>
      <c r="H1302" s="143">
        <f>ROUNDUP((H1301)/32,0)</f>
        <v>30</v>
      </c>
      <c r="I1302" s="145" t="s">
        <v>42</v>
      </c>
      <c r="J1302" s="37"/>
      <c r="K1302" s="159"/>
      <c r="L1302" s="160"/>
    </row>
    <row r="1303" spans="1:12" s="21" customFormat="1" x14ac:dyDescent="0.2">
      <c r="A1303" s="129" t="str">
        <f>IF(F1303&lt;&gt;"",1+MAX($A$7:A1302),"")</f>
        <v/>
      </c>
      <c r="B1303" s="140"/>
      <c r="C1303" s="140"/>
      <c r="D1303" s="141"/>
      <c r="E1303" s="165" t="s">
        <v>43</v>
      </c>
      <c r="F1303" s="166"/>
      <c r="G1303" s="167"/>
      <c r="H1303" s="143">
        <f>ROUNDUP(H1302*24/500,0)</f>
        <v>2</v>
      </c>
      <c r="I1303" s="145" t="s">
        <v>44</v>
      </c>
      <c r="J1303" s="37"/>
      <c r="K1303" s="159"/>
      <c r="L1303" s="160"/>
    </row>
    <row r="1304" spans="1:12" s="21" customFormat="1" x14ac:dyDescent="0.2">
      <c r="A1304" s="129" t="str">
        <f>IF(F1304&lt;&gt;"",1+MAX($A$7:A1303),"")</f>
        <v/>
      </c>
      <c r="B1304" s="140"/>
      <c r="C1304" s="140"/>
      <c r="D1304" s="141"/>
      <c r="E1304" s="165" t="s">
        <v>45</v>
      </c>
      <c r="F1304" s="166"/>
      <c r="G1304" s="167"/>
      <c r="H1304" s="168">
        <f>ROUNDUP((H1301)/200,0)</f>
        <v>5</v>
      </c>
      <c r="I1304" s="145" t="s">
        <v>46</v>
      </c>
      <c r="J1304" s="37"/>
      <c r="K1304" s="159"/>
      <c r="L1304" s="160"/>
    </row>
    <row r="1305" spans="1:12" s="21" customFormat="1" x14ac:dyDescent="0.2">
      <c r="A1305" s="129" t="str">
        <f>IF(F1305&lt;&gt;"",1+MAX($A$7:A1304),"")</f>
        <v/>
      </c>
      <c r="B1305" s="140"/>
      <c r="C1305" s="140"/>
      <c r="D1305" s="141"/>
      <c r="E1305" s="165" t="s">
        <v>47</v>
      </c>
      <c r="F1305" s="166"/>
      <c r="G1305" s="167"/>
      <c r="H1305" s="168">
        <f>ROUNDUP((H1301)*5.25/1000,0)</f>
        <v>6</v>
      </c>
      <c r="I1305" s="145" t="s">
        <v>48</v>
      </c>
      <c r="J1305" s="37"/>
      <c r="K1305" s="159"/>
      <c r="L1305" s="160"/>
    </row>
    <row r="1306" spans="1:12" s="21" customFormat="1" x14ac:dyDescent="0.2">
      <c r="A1306" s="129">
        <f>IF(F1306&lt;&gt;"",1+MAX($A$7:A1305),"")</f>
        <v>457</v>
      </c>
      <c r="B1306" s="140" t="s">
        <v>105</v>
      </c>
      <c r="C1306" s="140" t="s">
        <v>147</v>
      </c>
      <c r="D1306" s="141"/>
      <c r="E1306" s="163" t="s">
        <v>102</v>
      </c>
      <c r="F1306" s="149">
        <f>93.8*2</f>
        <v>187.6</v>
      </c>
      <c r="G1306" s="124">
        <v>0.1</v>
      </c>
      <c r="H1306" s="143">
        <f>F1306*(1+G1306)</f>
        <v>206.36</v>
      </c>
      <c r="I1306" s="145" t="s">
        <v>15</v>
      </c>
      <c r="J1306" s="37">
        <f>J$148</f>
        <v>0</v>
      </c>
      <c r="K1306" s="159">
        <f>J1306*H1306</f>
        <v>0</v>
      </c>
      <c r="L1306" s="160"/>
    </row>
    <row r="1307" spans="1:12" s="21" customFormat="1" x14ac:dyDescent="0.2">
      <c r="A1307" s="129">
        <f>IF(F1307&lt;&gt;"",1+MAX($A$7:A1306),"")</f>
        <v>458</v>
      </c>
      <c r="B1307" s="140" t="s">
        <v>105</v>
      </c>
      <c r="C1307" s="140" t="s">
        <v>147</v>
      </c>
      <c r="D1307" s="149"/>
      <c r="E1307" s="163" t="s">
        <v>349</v>
      </c>
      <c r="F1307" s="149">
        <f t="shared" ref="F1307" si="79">93.8*9.25</f>
        <v>867.65</v>
      </c>
      <c r="G1307" s="124">
        <v>0.1</v>
      </c>
      <c r="H1307" s="143">
        <f>F1307*(1+G1307)</f>
        <v>954.41500000000008</v>
      </c>
      <c r="I1307" s="145" t="s">
        <v>18</v>
      </c>
      <c r="J1307" s="37">
        <f>J$276</f>
        <v>0</v>
      </c>
      <c r="K1307" s="159">
        <f>J1307*H1307</f>
        <v>0</v>
      </c>
      <c r="L1307" s="160"/>
    </row>
    <row r="1308" spans="1:12" s="21" customFormat="1" x14ac:dyDescent="0.2">
      <c r="A1308" s="129">
        <f>IF(F1308&lt;&gt;"",1+MAX($A$7:A1307),"")</f>
        <v>459</v>
      </c>
      <c r="B1308" s="140" t="s">
        <v>105</v>
      </c>
      <c r="C1308" s="140" t="s">
        <v>147</v>
      </c>
      <c r="D1308" s="149"/>
      <c r="E1308" s="163" t="s">
        <v>149</v>
      </c>
      <c r="F1308" s="149">
        <f>93.8*10</f>
        <v>938</v>
      </c>
      <c r="G1308" s="124">
        <v>0.1</v>
      </c>
      <c r="H1308" s="143">
        <f>F1308*(1+G1308)</f>
        <v>1031.8000000000002</v>
      </c>
      <c r="I1308" s="145" t="s">
        <v>18</v>
      </c>
      <c r="J1308" s="37">
        <f>J$442</f>
        <v>0</v>
      </c>
      <c r="K1308" s="159">
        <f>J1308*H1308</f>
        <v>0</v>
      </c>
      <c r="L1308" s="160"/>
    </row>
    <row r="1309" spans="1:12" s="21" customFormat="1" x14ac:dyDescent="0.2">
      <c r="A1309" s="129" t="str">
        <f>IF(F1309&lt;&gt;"",1+MAX($A$7:A1308),"")</f>
        <v/>
      </c>
      <c r="B1309" s="140"/>
      <c r="C1309" s="140"/>
      <c r="D1309" s="141"/>
      <c r="E1309" s="163"/>
      <c r="F1309" s="149"/>
      <c r="G1309" s="124"/>
      <c r="H1309" s="143"/>
      <c r="I1309" s="145"/>
      <c r="J1309" s="37"/>
      <c r="K1309" s="159"/>
      <c r="L1309" s="160"/>
    </row>
    <row r="1310" spans="1:12" s="21" customFormat="1" x14ac:dyDescent="0.2">
      <c r="A1310" s="129" t="str">
        <f>IF(F1310&lt;&gt;"",1+MAX($A$7:A1309),"")</f>
        <v/>
      </c>
      <c r="B1310" s="140"/>
      <c r="C1310" s="140"/>
      <c r="D1310" s="141"/>
      <c r="E1310" s="158" t="s">
        <v>199</v>
      </c>
      <c r="F1310" s="149"/>
      <c r="G1310" s="144"/>
      <c r="H1310" s="143"/>
      <c r="I1310" s="145"/>
      <c r="J1310" s="37"/>
      <c r="K1310" s="159"/>
      <c r="L1310" s="160"/>
    </row>
    <row r="1311" spans="1:12" s="21" customFormat="1" x14ac:dyDescent="0.2">
      <c r="A1311" s="129">
        <f>IF(F1311&lt;&gt;"",1+MAX($A$7:A1310),"")</f>
        <v>460</v>
      </c>
      <c r="B1311" s="140" t="s">
        <v>105</v>
      </c>
      <c r="C1311" s="140" t="s">
        <v>202</v>
      </c>
      <c r="D1311" s="149"/>
      <c r="E1311" s="163" t="s">
        <v>149</v>
      </c>
      <c r="F1311" s="149">
        <f>(70.3*1.5+153.9*1.67+58.7*2+958.1*4.83)*2</f>
        <v>10214.972000000002</v>
      </c>
      <c r="G1311" s="124">
        <v>0.1</v>
      </c>
      <c r="H1311" s="143">
        <f>F1311*(1+G1311)</f>
        <v>11236.469200000003</v>
      </c>
      <c r="I1311" s="145" t="s">
        <v>18</v>
      </c>
      <c r="J1311" s="37">
        <f>J$442</f>
        <v>0</v>
      </c>
      <c r="K1311" s="159">
        <f>J1311*H1311</f>
        <v>0</v>
      </c>
      <c r="L1311" s="160"/>
    </row>
    <row r="1312" spans="1:12" s="21" customFormat="1" x14ac:dyDescent="0.2">
      <c r="A1312" s="129">
        <f>IF(F1312&lt;&gt;"",1+MAX($A$7:A1311),"")</f>
        <v>461</v>
      </c>
      <c r="B1312" s="140" t="s">
        <v>105</v>
      </c>
      <c r="C1312" s="140" t="s">
        <v>202</v>
      </c>
      <c r="D1312" s="149"/>
      <c r="E1312" s="163" t="s">
        <v>349</v>
      </c>
      <c r="F1312" s="149">
        <f>70.3*1.5+153.9*1.67+58.7*2+958.1*4.83</f>
        <v>5107.4860000000008</v>
      </c>
      <c r="G1312" s="124">
        <v>0.1</v>
      </c>
      <c r="H1312" s="143">
        <f>F1312*(1+G1312)</f>
        <v>5618.2346000000016</v>
      </c>
      <c r="I1312" s="145" t="s">
        <v>18</v>
      </c>
      <c r="J1312" s="37">
        <f>J$276</f>
        <v>0</v>
      </c>
      <c r="K1312" s="159">
        <f>J1312*H1312</f>
        <v>0</v>
      </c>
      <c r="L1312" s="160"/>
    </row>
    <row r="1313" spans="1:12" x14ac:dyDescent="0.2">
      <c r="A1313" s="129" t="str">
        <f>IF(F1313&lt;&gt;"",1+MAX($A$7:A1312),"")</f>
        <v/>
      </c>
      <c r="B1313" s="140"/>
      <c r="C1313" s="140"/>
      <c r="D1313" s="141"/>
      <c r="E1313" s="153"/>
      <c r="F1313" s="143"/>
      <c r="G1313" s="144"/>
      <c r="H1313" s="143"/>
      <c r="I1313" s="145"/>
      <c r="J1313" s="161"/>
      <c r="K1313" s="147"/>
      <c r="L1313" s="148"/>
    </row>
    <row r="1314" spans="1:12" x14ac:dyDescent="0.2">
      <c r="A1314" s="129" t="str">
        <f>IF(F1314&lt;&gt;"",1+MAX($A$7:A1313),"")</f>
        <v/>
      </c>
      <c r="B1314" s="140"/>
      <c r="C1314" s="140"/>
      <c r="D1314" s="141"/>
      <c r="E1314" s="142" t="s">
        <v>56</v>
      </c>
      <c r="F1314" s="149"/>
      <c r="G1314" s="144"/>
      <c r="H1314" s="143"/>
      <c r="I1314" s="145"/>
      <c r="J1314" s="161"/>
      <c r="K1314" s="105"/>
      <c r="L1314" s="11">
        <f>SUM(K140:K1313)</f>
        <v>0</v>
      </c>
    </row>
    <row r="1315" spans="1:12" s="18" customFormat="1" ht="18.75" x14ac:dyDescent="0.2">
      <c r="A1315" s="129" t="str">
        <f>IF(F1315&lt;&gt;"",1+MAX($A$7:A1314),"")</f>
        <v/>
      </c>
      <c r="B1315" s="120"/>
      <c r="C1315" s="120"/>
      <c r="D1315" s="121"/>
      <c r="E1315" s="122"/>
      <c r="F1315" s="123"/>
      <c r="G1315" s="124"/>
      <c r="H1315" s="125"/>
      <c r="I1315" s="126"/>
      <c r="J1315" s="127"/>
      <c r="K1315" s="104"/>
      <c r="L1315" s="128"/>
    </row>
    <row r="1316" spans="1:12" x14ac:dyDescent="0.2">
      <c r="A1316" s="129" t="str">
        <f>IF(F1316&lt;&gt;"",1+MAX($A$7:A1315),"")</f>
        <v/>
      </c>
      <c r="B1316" s="140"/>
      <c r="C1316" s="140"/>
      <c r="D1316" s="140"/>
      <c r="E1316" s="156" t="s">
        <v>57</v>
      </c>
      <c r="F1316" s="149"/>
      <c r="G1316" s="144"/>
      <c r="H1316" s="143"/>
      <c r="I1316" s="145"/>
      <c r="J1316" s="23"/>
      <c r="K1316" s="157"/>
      <c r="L1316" s="155"/>
    </row>
    <row r="1317" spans="1:12" s="18" customFormat="1" ht="63" x14ac:dyDescent="0.2">
      <c r="A1317" s="129">
        <f>IF(F1317&lt;&gt;"",1+MAX($A$7:A1316),"")</f>
        <v>462</v>
      </c>
      <c r="B1317" s="140" t="s">
        <v>105</v>
      </c>
      <c r="C1317" s="120" t="s">
        <v>153</v>
      </c>
      <c r="D1317" s="121"/>
      <c r="E1317" s="122" t="s">
        <v>736</v>
      </c>
      <c r="F1317" s="123">
        <f>8568.9+16403.2+11550</f>
        <v>36522.1</v>
      </c>
      <c r="G1317" s="124">
        <v>0.1</v>
      </c>
      <c r="H1317" s="125">
        <f t="shared" ref="H1317:H1322" si="80">F1317*(1+G1317)</f>
        <v>40174.310000000005</v>
      </c>
      <c r="I1317" s="126" t="s">
        <v>18</v>
      </c>
      <c r="J1317" s="127">
        <v>0</v>
      </c>
      <c r="K1317" s="104">
        <f t="shared" ref="K1317:K1322" si="81">J1317*H1317</f>
        <v>0</v>
      </c>
      <c r="L1317" s="128"/>
    </row>
    <row r="1318" spans="1:12" s="18" customFormat="1" ht="63" x14ac:dyDescent="0.2">
      <c r="A1318" s="129">
        <f>IF(F1318&lt;&gt;"",1+MAX($A$7:A1317),"")</f>
        <v>463</v>
      </c>
      <c r="B1318" s="140" t="s">
        <v>105</v>
      </c>
      <c r="C1318" s="120" t="s">
        <v>154</v>
      </c>
      <c r="D1318" s="121"/>
      <c r="E1318" s="122" t="s">
        <v>723</v>
      </c>
      <c r="F1318" s="123">
        <f>673.1+2190.1</f>
        <v>2863.2</v>
      </c>
      <c r="G1318" s="124">
        <v>0.1</v>
      </c>
      <c r="H1318" s="125">
        <f t="shared" si="80"/>
        <v>3149.52</v>
      </c>
      <c r="I1318" s="126" t="s">
        <v>18</v>
      </c>
      <c r="J1318" s="127">
        <v>0</v>
      </c>
      <c r="K1318" s="104">
        <f t="shared" si="81"/>
        <v>0</v>
      </c>
      <c r="L1318" s="128"/>
    </row>
    <row r="1319" spans="1:12" s="18" customFormat="1" ht="31.5" x14ac:dyDescent="0.2">
      <c r="A1319" s="129">
        <f>IF(F1319&lt;&gt;"",1+MAX($A$7:A1318),"")</f>
        <v>464</v>
      </c>
      <c r="B1319" s="140" t="s">
        <v>105</v>
      </c>
      <c r="C1319" s="120" t="s">
        <v>155</v>
      </c>
      <c r="D1319" s="121"/>
      <c r="E1319" s="122" t="s">
        <v>738</v>
      </c>
      <c r="F1319" s="123">
        <f>1426.4+1132.6+1416.2</f>
        <v>3975.2</v>
      </c>
      <c r="G1319" s="124">
        <v>0.1</v>
      </c>
      <c r="H1319" s="125">
        <f t="shared" si="80"/>
        <v>4372.72</v>
      </c>
      <c r="I1319" s="126" t="s">
        <v>18</v>
      </c>
      <c r="J1319" s="127">
        <v>0</v>
      </c>
      <c r="K1319" s="104">
        <f t="shared" si="81"/>
        <v>0</v>
      </c>
      <c r="L1319" s="128"/>
    </row>
    <row r="1320" spans="1:12" s="18" customFormat="1" ht="63" x14ac:dyDescent="0.2">
      <c r="A1320" s="129">
        <f>IF(F1320&lt;&gt;"",1+MAX($A$7:A1319),"")</f>
        <v>465</v>
      </c>
      <c r="B1320" s="140" t="s">
        <v>105</v>
      </c>
      <c r="C1320" s="120" t="s">
        <v>156</v>
      </c>
      <c r="D1320" s="121"/>
      <c r="E1320" s="122" t="s">
        <v>407</v>
      </c>
      <c r="F1320" s="123">
        <f>3051.6+12286.5</f>
        <v>15338.1</v>
      </c>
      <c r="G1320" s="124">
        <v>0.1</v>
      </c>
      <c r="H1320" s="125">
        <f t="shared" si="80"/>
        <v>16871.910000000003</v>
      </c>
      <c r="I1320" s="126" t="s">
        <v>18</v>
      </c>
      <c r="J1320" s="127">
        <v>0</v>
      </c>
      <c r="K1320" s="104">
        <f t="shared" si="81"/>
        <v>0</v>
      </c>
      <c r="L1320" s="128"/>
    </row>
    <row r="1321" spans="1:12" s="18" customFormat="1" ht="47.25" x14ac:dyDescent="0.2">
      <c r="A1321" s="129">
        <f>IF(F1321&lt;&gt;"",1+MAX($A$7:A1320),"")</f>
        <v>466</v>
      </c>
      <c r="B1321" s="140" t="s">
        <v>105</v>
      </c>
      <c r="C1321" s="120" t="s">
        <v>153</v>
      </c>
      <c r="D1321" s="121"/>
      <c r="E1321" s="122" t="s">
        <v>408</v>
      </c>
      <c r="F1321" s="123">
        <f>865.6+1463.4+1450.9</f>
        <v>3779.9</v>
      </c>
      <c r="G1321" s="124">
        <v>0.1</v>
      </c>
      <c r="H1321" s="125">
        <f t="shared" si="80"/>
        <v>4157.8900000000003</v>
      </c>
      <c r="I1321" s="126" t="s">
        <v>18</v>
      </c>
      <c r="J1321" s="127">
        <v>0</v>
      </c>
      <c r="K1321" s="104">
        <f t="shared" si="81"/>
        <v>0</v>
      </c>
      <c r="L1321" s="128"/>
    </row>
    <row r="1322" spans="1:12" s="18" customFormat="1" ht="31.5" x14ac:dyDescent="0.2">
      <c r="A1322" s="129">
        <f>IF(F1322&lt;&gt;"",1+MAX($A$7:A1321),"")</f>
        <v>467</v>
      </c>
      <c r="B1322" s="140" t="s">
        <v>105</v>
      </c>
      <c r="C1322" s="120" t="s">
        <v>205</v>
      </c>
      <c r="D1322" s="121"/>
      <c r="E1322" s="122" t="s">
        <v>204</v>
      </c>
      <c r="F1322" s="123">
        <f>77.6*2.75</f>
        <v>213.39999999999998</v>
      </c>
      <c r="G1322" s="124">
        <v>0.1</v>
      </c>
      <c r="H1322" s="125">
        <f t="shared" si="80"/>
        <v>234.73999999999998</v>
      </c>
      <c r="I1322" s="126" t="s">
        <v>18</v>
      </c>
      <c r="J1322" s="127">
        <v>0</v>
      </c>
      <c r="K1322" s="104">
        <f t="shared" si="81"/>
        <v>0</v>
      </c>
      <c r="L1322" s="128"/>
    </row>
    <row r="1323" spans="1:12" s="18" customFormat="1" ht="31.5" x14ac:dyDescent="0.2">
      <c r="A1323" s="129">
        <f>IF(F1323&lt;&gt;"",1+MAX($A$7:A1322),"")</f>
        <v>468</v>
      </c>
      <c r="B1323" s="140" t="s">
        <v>208</v>
      </c>
      <c r="C1323" s="120" t="s">
        <v>207</v>
      </c>
      <c r="D1323" s="121"/>
      <c r="E1323" s="122" t="s">
        <v>206</v>
      </c>
      <c r="F1323" s="123">
        <f>35.9*10.334+39.3*9.5+55.6*4.25+59.9*4.42</f>
        <v>1245.3986</v>
      </c>
      <c r="G1323" s="124">
        <v>0.1</v>
      </c>
      <c r="H1323" s="125">
        <f t="shared" ref="H1323" si="82">F1323*(1+G1323)</f>
        <v>1369.9384600000001</v>
      </c>
      <c r="I1323" s="126" t="s">
        <v>18</v>
      </c>
      <c r="J1323" s="127">
        <f>J$1322</f>
        <v>0</v>
      </c>
      <c r="K1323" s="104">
        <f t="shared" ref="K1323" si="83">J1323*H1323</f>
        <v>0</v>
      </c>
      <c r="L1323" s="128"/>
    </row>
    <row r="1324" spans="1:12" s="18" customFormat="1" ht="94.5" x14ac:dyDescent="0.2">
      <c r="A1324" s="129">
        <f>IF(F1324&lt;&gt;"",1+MAX($A$7:A1323),"")</f>
        <v>469</v>
      </c>
      <c r="B1324" s="140" t="s">
        <v>105</v>
      </c>
      <c r="C1324" s="120" t="s">
        <v>160</v>
      </c>
      <c r="D1324" s="121"/>
      <c r="E1324" s="122" t="s">
        <v>162</v>
      </c>
      <c r="F1324" s="123">
        <f>275.3+82.5</f>
        <v>357.8</v>
      </c>
      <c r="G1324" s="124">
        <v>0.1</v>
      </c>
      <c r="H1324" s="125">
        <f t="shared" ref="H1324" si="84">F1324*(1+G1324)</f>
        <v>393.58000000000004</v>
      </c>
      <c r="I1324" s="126" t="s">
        <v>18</v>
      </c>
      <c r="J1324" s="127">
        <v>0</v>
      </c>
      <c r="K1324" s="104">
        <f t="shared" ref="K1324" si="85">J1324*H1324</f>
        <v>0</v>
      </c>
      <c r="L1324" s="128"/>
    </row>
    <row r="1325" spans="1:12" ht="18.75" x14ac:dyDescent="0.2">
      <c r="A1325" s="129" t="str">
        <f>IF(F1325&lt;&gt;"",1+MAX($A$7:A1324),"")</f>
        <v/>
      </c>
      <c r="B1325" s="140"/>
      <c r="C1325" s="140"/>
      <c r="D1325" s="121"/>
      <c r="E1325" s="153"/>
      <c r="F1325" s="143"/>
      <c r="G1325" s="144"/>
      <c r="H1325" s="143"/>
      <c r="I1325" s="145"/>
      <c r="J1325" s="161"/>
      <c r="K1325" s="147"/>
      <c r="L1325" s="148"/>
    </row>
    <row r="1326" spans="1:12" ht="18.75" x14ac:dyDescent="0.2">
      <c r="A1326" s="129" t="str">
        <f>IF(F1326&lt;&gt;"",1+MAX($A$7:A1325),"")</f>
        <v/>
      </c>
      <c r="B1326" s="140"/>
      <c r="C1326" s="140"/>
      <c r="D1326" s="121"/>
      <c r="E1326" s="142" t="s">
        <v>58</v>
      </c>
      <c r="F1326" s="149"/>
      <c r="G1326" s="144"/>
      <c r="H1326" s="143"/>
      <c r="I1326" s="145"/>
      <c r="J1326" s="161"/>
      <c r="K1326" s="105"/>
      <c r="L1326" s="11">
        <f>SUM(K1316:K1325)</f>
        <v>0</v>
      </c>
    </row>
    <row r="1327" spans="1:12" s="18" customFormat="1" ht="18.75" x14ac:dyDescent="0.2">
      <c r="A1327" s="129" t="str">
        <f>IF(F1327&lt;&gt;"",1+MAX($A$7:A1326),"")</f>
        <v/>
      </c>
      <c r="B1327" s="120"/>
      <c r="C1327" s="120"/>
      <c r="D1327" s="121"/>
      <c r="E1327" s="122"/>
      <c r="F1327" s="123"/>
      <c r="G1327" s="124"/>
      <c r="H1327" s="125"/>
      <c r="I1327" s="126"/>
      <c r="J1327" s="127"/>
      <c r="K1327" s="104"/>
      <c r="L1327" s="128"/>
    </row>
    <row r="1328" spans="1:12" x14ac:dyDescent="0.2">
      <c r="A1328" s="129" t="str">
        <f>IF(F1328&lt;&gt;"",1+MAX($A$7:A1327),"")</f>
        <v/>
      </c>
      <c r="B1328" s="140"/>
      <c r="C1328" s="140"/>
      <c r="D1328" s="140"/>
      <c r="E1328" s="156" t="s">
        <v>157</v>
      </c>
      <c r="F1328" s="149"/>
      <c r="G1328" s="144"/>
      <c r="H1328" s="143"/>
      <c r="I1328" s="145"/>
      <c r="J1328" s="23"/>
      <c r="K1328" s="157"/>
      <c r="L1328" s="155"/>
    </row>
    <row r="1329" spans="1:12" s="18" customFormat="1" ht="63" x14ac:dyDescent="0.2">
      <c r="A1329" s="129">
        <f>IF(F1329&lt;&gt;"",1+MAX($A$7:A1328),"")</f>
        <v>470</v>
      </c>
      <c r="B1329" s="140" t="s">
        <v>105</v>
      </c>
      <c r="C1329" s="120" t="s">
        <v>159</v>
      </c>
      <c r="D1329" s="121"/>
      <c r="E1329" s="122" t="s">
        <v>161</v>
      </c>
      <c r="F1329" s="123">
        <f>(4322.9+10.1*0.334+32.8*2.1+232.4*2.67+16.3*3.58)+(5109.8+16.9*0.334+65.3*2.1+394.2*2.67)+(5123.6+16.9*0.334+70.5*2.1+378.4*2.67)+(3177.4+19.9*0.334+15.4*1.58+73.8*2.1+230.5*2.67)</f>
        <v>21645.520199999999</v>
      </c>
      <c r="G1329" s="124">
        <v>0.1</v>
      </c>
      <c r="H1329" s="125">
        <f t="shared" ref="H1329" si="86">F1329*(1+G1329)</f>
        <v>23810.072220000002</v>
      </c>
      <c r="I1329" s="126" t="s">
        <v>18</v>
      </c>
      <c r="J1329" s="127">
        <v>0</v>
      </c>
      <c r="K1329" s="104">
        <f t="shared" ref="K1329" si="87">J1329*H1329</f>
        <v>0</v>
      </c>
      <c r="L1329" s="128"/>
    </row>
    <row r="1330" spans="1:12" x14ac:dyDescent="0.2">
      <c r="A1330" s="129" t="str">
        <f>IF(F1330&lt;&gt;"",1+MAX($A$7:A1329),"")</f>
        <v/>
      </c>
      <c r="B1330" s="140"/>
      <c r="C1330" s="140"/>
      <c r="D1330" s="141"/>
      <c r="E1330" s="153"/>
      <c r="F1330" s="143"/>
      <c r="G1330" s="144"/>
      <c r="H1330" s="143"/>
      <c r="I1330" s="145"/>
      <c r="J1330" s="161"/>
      <c r="K1330" s="147"/>
      <c r="L1330" s="148"/>
    </row>
    <row r="1331" spans="1:12" x14ac:dyDescent="0.2">
      <c r="A1331" s="129" t="str">
        <f>IF(F1331&lt;&gt;"",1+MAX($A$7:A1330),"")</f>
        <v/>
      </c>
      <c r="B1331" s="140"/>
      <c r="C1331" s="140"/>
      <c r="D1331" s="141"/>
      <c r="E1331" s="142" t="s">
        <v>158</v>
      </c>
      <c r="F1331" s="149"/>
      <c r="G1331" s="144"/>
      <c r="H1331" s="143"/>
      <c r="I1331" s="145"/>
      <c r="J1331" s="161"/>
      <c r="K1331" s="105"/>
      <c r="L1331" s="11">
        <f>SUM(K1328:K1330)</f>
        <v>0</v>
      </c>
    </row>
    <row r="1332" spans="1:12" s="18" customFormat="1" ht="18.75" x14ac:dyDescent="0.2">
      <c r="A1332" s="129" t="str">
        <f>IF(F1332&lt;&gt;"",1+MAX($A$7:A1331),"")</f>
        <v/>
      </c>
      <c r="B1332" s="120"/>
      <c r="C1332" s="120"/>
      <c r="D1332" s="121"/>
      <c r="E1332" s="122"/>
      <c r="F1332" s="123"/>
      <c r="G1332" s="124"/>
      <c r="H1332" s="125"/>
      <c r="I1332" s="126"/>
      <c r="J1332" s="127"/>
      <c r="K1332" s="104"/>
      <c r="L1332" s="128"/>
    </row>
    <row r="1333" spans="1:12" x14ac:dyDescent="0.2">
      <c r="A1333" s="129" t="str">
        <f>IF(F1333&lt;&gt;"",1+MAX($A$7:A1332),"")</f>
        <v/>
      </c>
      <c r="B1333" s="140"/>
      <c r="C1333" s="140"/>
      <c r="D1333" s="140"/>
      <c r="E1333" s="156" t="s">
        <v>66</v>
      </c>
      <c r="F1333" s="149"/>
      <c r="G1333" s="144"/>
      <c r="H1333" s="143"/>
      <c r="I1333" s="145"/>
      <c r="J1333" s="23"/>
      <c r="K1333" s="157"/>
      <c r="L1333" s="155"/>
    </row>
    <row r="1334" spans="1:12" s="17" customFormat="1" ht="31.5" x14ac:dyDescent="0.2">
      <c r="A1334" s="129">
        <f>IF(F1334&lt;&gt;"",1+MAX($A$7:A1333),"")</f>
        <v>471</v>
      </c>
      <c r="B1334" s="140" t="s">
        <v>295</v>
      </c>
      <c r="C1334" s="120" t="s">
        <v>296</v>
      </c>
      <c r="D1334" s="121"/>
      <c r="E1334" s="122" t="s">
        <v>382</v>
      </c>
      <c r="F1334" s="123">
        <v>632.1</v>
      </c>
      <c r="G1334" s="124">
        <v>0.1</v>
      </c>
      <c r="H1334" s="125">
        <f t="shared" ref="H1334:H1336" si="88">F1334*(1+G1334)</f>
        <v>695.31000000000006</v>
      </c>
      <c r="I1334" s="126" t="s">
        <v>18</v>
      </c>
      <c r="J1334" s="127">
        <v>0</v>
      </c>
      <c r="K1334" s="104">
        <f>J1334*H1334</f>
        <v>0</v>
      </c>
      <c r="L1334" s="128"/>
    </row>
    <row r="1335" spans="1:12" s="17" customFormat="1" ht="31.5" x14ac:dyDescent="0.2">
      <c r="A1335" s="129">
        <f>IF(F1335&lt;&gt;"",1+MAX($A$7:A1334),"")</f>
        <v>472</v>
      </c>
      <c r="B1335" s="140" t="s">
        <v>295</v>
      </c>
      <c r="C1335" s="120" t="s">
        <v>296</v>
      </c>
      <c r="D1335" s="121"/>
      <c r="E1335" s="122" t="s">
        <v>390</v>
      </c>
      <c r="F1335" s="123">
        <v>150.69999999999999</v>
      </c>
      <c r="G1335" s="124">
        <v>0.1</v>
      </c>
      <c r="H1335" s="125">
        <f t="shared" si="88"/>
        <v>165.77</v>
      </c>
      <c r="I1335" s="126" t="s">
        <v>18</v>
      </c>
      <c r="J1335" s="127">
        <v>0</v>
      </c>
      <c r="K1335" s="104">
        <f>J1335*H1335</f>
        <v>0</v>
      </c>
      <c r="L1335" s="128"/>
    </row>
    <row r="1336" spans="1:12" s="17" customFormat="1" ht="31.5" x14ac:dyDescent="0.2">
      <c r="A1336" s="129">
        <f>IF(F1336&lt;&gt;"",1+MAX($A$7:A1335),"")</f>
        <v>473</v>
      </c>
      <c r="B1336" s="140" t="s">
        <v>295</v>
      </c>
      <c r="C1336" s="120" t="s">
        <v>296</v>
      </c>
      <c r="D1336" s="121"/>
      <c r="E1336" s="122" t="s">
        <v>389</v>
      </c>
      <c r="F1336" s="123">
        <f>6*86.19</f>
        <v>517.14</v>
      </c>
      <c r="G1336" s="124">
        <v>0.1</v>
      </c>
      <c r="H1336" s="125">
        <f t="shared" si="88"/>
        <v>568.85400000000004</v>
      </c>
      <c r="I1336" s="126" t="s">
        <v>18</v>
      </c>
      <c r="J1336" s="127">
        <v>0</v>
      </c>
      <c r="K1336" s="104">
        <f>J1336*H1336</f>
        <v>0</v>
      </c>
      <c r="L1336" s="128"/>
    </row>
    <row r="1337" spans="1:12" x14ac:dyDescent="0.2">
      <c r="A1337" s="129" t="str">
        <f>IF(F1337&lt;&gt;"",1+MAX($A$7:A1336),"")</f>
        <v/>
      </c>
      <c r="B1337" s="140"/>
      <c r="C1337" s="140"/>
      <c r="D1337" s="141"/>
      <c r="E1337" s="153"/>
      <c r="F1337" s="143"/>
      <c r="G1337" s="144"/>
      <c r="H1337" s="143"/>
      <c r="I1337" s="145"/>
      <c r="J1337" s="161"/>
      <c r="K1337" s="147"/>
      <c r="L1337" s="148"/>
    </row>
    <row r="1338" spans="1:12" x14ac:dyDescent="0.2">
      <c r="A1338" s="129" t="str">
        <f>IF(F1338&lt;&gt;"",1+MAX($A$7:A1337),"")</f>
        <v/>
      </c>
      <c r="B1338" s="140"/>
      <c r="C1338" s="140"/>
      <c r="D1338" s="141"/>
      <c r="E1338" s="142" t="s">
        <v>67</v>
      </c>
      <c r="F1338" s="149"/>
      <c r="G1338" s="144"/>
      <c r="H1338" s="143"/>
      <c r="I1338" s="145"/>
      <c r="J1338" s="161"/>
      <c r="K1338" s="105"/>
      <c r="L1338" s="11">
        <f>SUM(K1333:K1337)</f>
        <v>0</v>
      </c>
    </row>
    <row r="1339" spans="1:12" s="18" customFormat="1" ht="18.75" x14ac:dyDescent="0.2">
      <c r="A1339" s="129" t="str">
        <f>IF(F1339&lt;&gt;"",1+MAX($A$7:A1338),"")</f>
        <v/>
      </c>
      <c r="B1339" s="120"/>
      <c r="C1339" s="120"/>
      <c r="D1339" s="121"/>
      <c r="E1339" s="122"/>
      <c r="F1339" s="123"/>
      <c r="G1339" s="124"/>
      <c r="H1339" s="125"/>
      <c r="I1339" s="126"/>
      <c r="J1339" s="127"/>
      <c r="K1339" s="104"/>
      <c r="L1339" s="128"/>
    </row>
    <row r="1340" spans="1:12" x14ac:dyDescent="0.2">
      <c r="A1340" s="129" t="str">
        <f>IF(F1340&lt;&gt;"",1+MAX($A$7:A1339),"")</f>
        <v/>
      </c>
      <c r="B1340" s="140"/>
      <c r="C1340" s="140"/>
      <c r="D1340" s="140"/>
      <c r="E1340" s="156" t="s">
        <v>299</v>
      </c>
      <c r="F1340" s="149"/>
      <c r="G1340" s="144"/>
      <c r="H1340" s="143"/>
      <c r="I1340" s="145"/>
      <c r="J1340" s="23"/>
      <c r="K1340" s="157"/>
      <c r="L1340" s="155"/>
    </row>
    <row r="1341" spans="1:12" s="17" customFormat="1" ht="31.5" x14ac:dyDescent="0.2">
      <c r="A1341" s="129">
        <f>IF(F1341&lt;&gt;"",1+MAX($A$7:A1340),"")</f>
        <v>474</v>
      </c>
      <c r="B1341" s="140" t="s">
        <v>295</v>
      </c>
      <c r="C1341" s="120" t="s">
        <v>296</v>
      </c>
      <c r="D1341" s="121"/>
      <c r="E1341" s="122" t="s">
        <v>388</v>
      </c>
      <c r="F1341" s="123">
        <f>15498+1259.1</f>
        <v>16757.099999999999</v>
      </c>
      <c r="G1341" s="124">
        <v>0.1</v>
      </c>
      <c r="H1341" s="125">
        <f t="shared" ref="H1341" si="89">F1341*(1+G1341)</f>
        <v>18432.810000000001</v>
      </c>
      <c r="I1341" s="126" t="s">
        <v>18</v>
      </c>
      <c r="J1341" s="127">
        <v>0</v>
      </c>
      <c r="K1341" s="104">
        <f>J1341*H1341</f>
        <v>0</v>
      </c>
      <c r="L1341" s="128"/>
    </row>
    <row r="1342" spans="1:12" x14ac:dyDescent="0.2">
      <c r="A1342" s="129" t="str">
        <f>IF(F1342&lt;&gt;"",1+MAX($A$7:A1341),"")</f>
        <v/>
      </c>
      <c r="B1342" s="140"/>
      <c r="C1342" s="140"/>
      <c r="D1342" s="141"/>
      <c r="E1342" s="153"/>
      <c r="F1342" s="143"/>
      <c r="G1342" s="144"/>
      <c r="H1342" s="143"/>
      <c r="I1342" s="145"/>
      <c r="J1342" s="161"/>
      <c r="K1342" s="147"/>
      <c r="L1342" s="148"/>
    </row>
    <row r="1343" spans="1:12" x14ac:dyDescent="0.2">
      <c r="A1343" s="129" t="str">
        <f>IF(F1343&lt;&gt;"",1+MAX($A$7:A1342),"")</f>
        <v/>
      </c>
      <c r="B1343" s="140"/>
      <c r="C1343" s="140"/>
      <c r="D1343" s="141"/>
      <c r="E1343" s="142" t="s">
        <v>300</v>
      </c>
      <c r="F1343" s="149"/>
      <c r="G1343" s="144"/>
      <c r="H1343" s="143"/>
      <c r="I1343" s="145"/>
      <c r="J1343" s="161"/>
      <c r="K1343" s="105"/>
      <c r="L1343" s="11">
        <f>SUM(K1340:K1342)</f>
        <v>0</v>
      </c>
    </row>
    <row r="1344" spans="1:12" s="18" customFormat="1" ht="18.75" x14ac:dyDescent="0.2">
      <c r="A1344" s="129" t="str">
        <f>IF(F1344&lt;&gt;"",1+MAX($A$7:A1343),"")</f>
        <v/>
      </c>
      <c r="B1344" s="120"/>
      <c r="C1344" s="120"/>
      <c r="D1344" s="121"/>
      <c r="E1344" s="122"/>
      <c r="F1344" s="123"/>
      <c r="G1344" s="124"/>
      <c r="H1344" s="125"/>
      <c r="I1344" s="126"/>
      <c r="J1344" s="127"/>
      <c r="K1344" s="104"/>
      <c r="L1344" s="128"/>
    </row>
    <row r="1345" spans="1:12" x14ac:dyDescent="0.2">
      <c r="A1345" s="129" t="str">
        <f>IF(F1345&lt;&gt;"",1+MAX($A$7:A1344),"")</f>
        <v/>
      </c>
      <c r="B1345" s="140"/>
      <c r="C1345" s="140"/>
      <c r="D1345" s="140"/>
      <c r="E1345" s="156" t="s">
        <v>301</v>
      </c>
      <c r="F1345" s="149"/>
      <c r="G1345" s="144"/>
      <c r="H1345" s="143"/>
      <c r="I1345" s="145"/>
      <c r="J1345" s="23"/>
      <c r="K1345" s="157"/>
      <c r="L1345" s="155"/>
    </row>
    <row r="1346" spans="1:12" s="17" customFormat="1" ht="31.5" x14ac:dyDescent="0.2">
      <c r="A1346" s="129">
        <f>IF(F1346&lt;&gt;"",1+MAX($A$7:A1345),"")</f>
        <v>475</v>
      </c>
      <c r="B1346" s="140" t="s">
        <v>295</v>
      </c>
      <c r="C1346" s="120" t="s">
        <v>296</v>
      </c>
      <c r="D1346" s="121"/>
      <c r="E1346" s="122" t="s">
        <v>387</v>
      </c>
      <c r="F1346" s="123">
        <f>34714+240.65+15498</f>
        <v>50452.65</v>
      </c>
      <c r="G1346" s="124">
        <v>0.1</v>
      </c>
      <c r="H1346" s="125">
        <f t="shared" ref="H1346:H1347" si="90">F1346*(1+G1346)</f>
        <v>55497.915000000008</v>
      </c>
      <c r="I1346" s="126" t="s">
        <v>18</v>
      </c>
      <c r="J1346" s="127">
        <v>0</v>
      </c>
      <c r="K1346" s="104">
        <f>J1346*H1346</f>
        <v>0</v>
      </c>
      <c r="L1346" s="128"/>
    </row>
    <row r="1347" spans="1:12" s="17" customFormat="1" ht="31.5" x14ac:dyDescent="0.2">
      <c r="A1347" s="129">
        <f>IF(F1347&lt;&gt;"",1+MAX($A$7:A1346),"")</f>
        <v>476</v>
      </c>
      <c r="B1347" s="140" t="s">
        <v>295</v>
      </c>
      <c r="C1347" s="120" t="s">
        <v>302</v>
      </c>
      <c r="D1347" s="121"/>
      <c r="E1347" s="122" t="s">
        <v>386</v>
      </c>
      <c r="F1347" s="123">
        <v>4779.8</v>
      </c>
      <c r="G1347" s="124">
        <v>0.1</v>
      </c>
      <c r="H1347" s="125">
        <f t="shared" si="90"/>
        <v>5257.7800000000007</v>
      </c>
      <c r="I1347" s="126" t="s">
        <v>18</v>
      </c>
      <c r="J1347" s="127">
        <f>J$1346</f>
        <v>0</v>
      </c>
      <c r="K1347" s="104">
        <f>J1347*H1347</f>
        <v>0</v>
      </c>
      <c r="L1347" s="128"/>
    </row>
    <row r="1348" spans="1:12" ht="47.25" x14ac:dyDescent="0.2">
      <c r="A1348" s="129" t="str">
        <f>IF(F1348&lt;&gt;"",1+MAX($A$7:A1347),"")</f>
        <v/>
      </c>
      <c r="B1348" s="140"/>
      <c r="C1348" s="140"/>
      <c r="D1348" s="141"/>
      <c r="E1348" s="169" t="s">
        <v>391</v>
      </c>
      <c r="F1348" s="143"/>
      <c r="G1348" s="144"/>
      <c r="H1348" s="143"/>
      <c r="I1348" s="145"/>
      <c r="J1348" s="161"/>
      <c r="K1348" s="147"/>
      <c r="L1348" s="148"/>
    </row>
    <row r="1349" spans="1:12" x14ac:dyDescent="0.2">
      <c r="A1349" s="129" t="str">
        <f>IF(F1349&lt;&gt;"",1+MAX($A$7:A1348),"")</f>
        <v/>
      </c>
      <c r="B1349" s="140"/>
      <c r="C1349" s="140"/>
      <c r="D1349" s="141"/>
      <c r="E1349" s="142" t="s">
        <v>303</v>
      </c>
      <c r="F1349" s="149"/>
      <c r="G1349" s="144"/>
      <c r="H1349" s="143"/>
      <c r="I1349" s="145"/>
      <c r="J1349" s="161"/>
      <c r="K1349" s="105"/>
      <c r="L1349" s="11">
        <f>SUM(K1345:K1348)</f>
        <v>0</v>
      </c>
    </row>
    <row r="1350" spans="1:12" s="18" customFormat="1" ht="18.75" x14ac:dyDescent="0.2">
      <c r="A1350" s="129" t="str">
        <f>IF(F1350&lt;&gt;"",1+MAX($A$7:A1349),"")</f>
        <v/>
      </c>
      <c r="B1350" s="120"/>
      <c r="C1350" s="120"/>
      <c r="D1350" s="121"/>
      <c r="E1350" s="122"/>
      <c r="F1350" s="123"/>
      <c r="G1350" s="124"/>
      <c r="H1350" s="125"/>
      <c r="I1350" s="126"/>
      <c r="J1350" s="127"/>
      <c r="K1350" s="104"/>
      <c r="L1350" s="128"/>
    </row>
    <row r="1351" spans="1:12" x14ac:dyDescent="0.2">
      <c r="A1351" s="129" t="str">
        <f>IF(F1351&lt;&gt;"",1+MAX($A$7:A1350),"")</f>
        <v/>
      </c>
      <c r="B1351" s="140"/>
      <c r="C1351" s="140"/>
      <c r="D1351" s="140"/>
      <c r="E1351" s="156" t="s">
        <v>304</v>
      </c>
      <c r="F1351" s="149"/>
      <c r="G1351" s="144"/>
      <c r="H1351" s="143"/>
      <c r="I1351" s="145"/>
      <c r="J1351" s="23"/>
      <c r="K1351" s="157"/>
      <c r="L1351" s="155"/>
    </row>
    <row r="1352" spans="1:12" s="17" customFormat="1" ht="18.75" x14ac:dyDescent="0.2">
      <c r="A1352" s="129">
        <f>IF(F1352&lt;&gt;"",1+MAX($A$7:A1351),"")</f>
        <v>477</v>
      </c>
      <c r="B1352" s="140" t="s">
        <v>295</v>
      </c>
      <c r="C1352" s="120" t="s">
        <v>296</v>
      </c>
      <c r="D1352" s="121"/>
      <c r="E1352" s="122" t="s">
        <v>305</v>
      </c>
      <c r="F1352" s="123">
        <f>30129.7+1366.62</f>
        <v>31496.32</v>
      </c>
      <c r="G1352" s="124">
        <v>0.1</v>
      </c>
      <c r="H1352" s="125">
        <f t="shared" ref="H1352" si="91">F1352*(1+G1352)</f>
        <v>34645.952000000005</v>
      </c>
      <c r="I1352" s="126" t="s">
        <v>18</v>
      </c>
      <c r="J1352" s="127">
        <v>0</v>
      </c>
      <c r="K1352" s="104">
        <f>J1352*H1352</f>
        <v>0</v>
      </c>
      <c r="L1352" s="128"/>
    </row>
    <row r="1353" spans="1:12" ht="31.5" x14ac:dyDescent="0.2">
      <c r="A1353" s="129" t="str">
        <f>IF(F1353&lt;&gt;"",1+MAX($A$7:A1352),"")</f>
        <v/>
      </c>
      <c r="B1353" s="140"/>
      <c r="C1353" s="140"/>
      <c r="D1353" s="141"/>
      <c r="E1353" s="169" t="s">
        <v>383</v>
      </c>
      <c r="F1353" s="143"/>
      <c r="G1353" s="144"/>
      <c r="H1353" s="143"/>
      <c r="I1353" s="145"/>
      <c r="J1353" s="161"/>
      <c r="K1353" s="147"/>
      <c r="L1353" s="148"/>
    </row>
    <row r="1354" spans="1:12" x14ac:dyDescent="0.2">
      <c r="A1354" s="129" t="str">
        <f>IF(F1354&lt;&gt;"",1+MAX($A$7:A1353),"")</f>
        <v/>
      </c>
      <c r="B1354" s="140"/>
      <c r="C1354" s="140"/>
      <c r="D1354" s="141"/>
      <c r="E1354" s="142" t="s">
        <v>306</v>
      </c>
      <c r="F1354" s="149"/>
      <c r="G1354" s="144"/>
      <c r="H1354" s="143"/>
      <c r="I1354" s="145"/>
      <c r="J1354" s="161"/>
      <c r="K1354" s="105"/>
      <c r="L1354" s="11">
        <f>SUM(K1351:K1353)</f>
        <v>0</v>
      </c>
    </row>
    <row r="1355" spans="1:12" s="18" customFormat="1" ht="18.75" x14ac:dyDescent="0.2">
      <c r="A1355" s="129" t="str">
        <f>IF(F1355&lt;&gt;"",1+MAX($A$7:A1354),"")</f>
        <v/>
      </c>
      <c r="B1355" s="120"/>
      <c r="C1355" s="120"/>
      <c r="D1355" s="121"/>
      <c r="E1355" s="122"/>
      <c r="F1355" s="123"/>
      <c r="G1355" s="124"/>
      <c r="H1355" s="125"/>
      <c r="I1355" s="126"/>
      <c r="J1355" s="127"/>
      <c r="K1355" s="104"/>
      <c r="L1355" s="128"/>
    </row>
    <row r="1356" spans="1:12" x14ac:dyDescent="0.2">
      <c r="A1356" s="129" t="str">
        <f>IF(F1356&lt;&gt;"",1+MAX($A$7:A1355),"")</f>
        <v/>
      </c>
      <c r="B1356" s="140"/>
      <c r="C1356" s="140"/>
      <c r="D1356" s="140"/>
      <c r="E1356" s="156" t="s">
        <v>297</v>
      </c>
      <c r="F1356" s="149"/>
      <c r="G1356" s="144"/>
      <c r="H1356" s="143"/>
      <c r="I1356" s="145"/>
      <c r="J1356" s="23"/>
      <c r="K1356" s="157"/>
      <c r="L1356" s="155"/>
    </row>
    <row r="1357" spans="1:12" s="17" customFormat="1" ht="31.5" x14ac:dyDescent="0.2">
      <c r="A1357" s="129">
        <f>IF(F1357&lt;&gt;"",1+MAX($A$7:A1356),"")</f>
        <v>478</v>
      </c>
      <c r="B1357" s="140" t="s">
        <v>295</v>
      </c>
      <c r="C1357" s="120" t="s">
        <v>296</v>
      </c>
      <c r="D1357" s="121"/>
      <c r="E1357" s="122" t="s">
        <v>385</v>
      </c>
      <c r="F1357" s="123">
        <f>15720.1+1043.17</f>
        <v>16763.27</v>
      </c>
      <c r="G1357" s="124">
        <v>0.1</v>
      </c>
      <c r="H1357" s="125">
        <f t="shared" ref="H1357:H1358" si="92">F1357*(1+G1357)</f>
        <v>18439.597000000002</v>
      </c>
      <c r="I1357" s="126" t="s">
        <v>18</v>
      </c>
      <c r="J1357" s="127">
        <v>0</v>
      </c>
      <c r="K1357" s="104">
        <f>J1357*H1357</f>
        <v>0</v>
      </c>
      <c r="L1357" s="128"/>
    </row>
    <row r="1358" spans="1:12" s="17" customFormat="1" ht="31.5" x14ac:dyDescent="0.2">
      <c r="A1358" s="129">
        <f>IF(F1358&lt;&gt;"",1+MAX($A$7:A1357),"")</f>
        <v>479</v>
      </c>
      <c r="B1358" s="140" t="s">
        <v>295</v>
      </c>
      <c r="C1358" s="120" t="s">
        <v>296</v>
      </c>
      <c r="D1358" s="121"/>
      <c r="E1358" s="122" t="s">
        <v>384</v>
      </c>
      <c r="F1358" s="123">
        <v>1631</v>
      </c>
      <c r="G1358" s="124">
        <v>0.1</v>
      </c>
      <c r="H1358" s="125">
        <f t="shared" si="92"/>
        <v>1794.1000000000001</v>
      </c>
      <c r="I1358" s="126" t="s">
        <v>18</v>
      </c>
      <c r="J1358" s="127">
        <f>J$1357</f>
        <v>0</v>
      </c>
      <c r="K1358" s="104">
        <f>J1358*H1358</f>
        <v>0</v>
      </c>
      <c r="L1358" s="128"/>
    </row>
    <row r="1359" spans="1:12" ht="47.25" x14ac:dyDescent="0.2">
      <c r="A1359" s="129" t="str">
        <f>IF(F1359&lt;&gt;"",1+MAX($A$7:A1358),"")</f>
        <v/>
      </c>
      <c r="B1359" s="140"/>
      <c r="C1359" s="140"/>
      <c r="D1359" s="141"/>
      <c r="E1359" s="169" t="s">
        <v>392</v>
      </c>
      <c r="F1359" s="143"/>
      <c r="G1359" s="144"/>
      <c r="H1359" s="143"/>
      <c r="I1359" s="145"/>
      <c r="J1359" s="161"/>
      <c r="K1359" s="147"/>
      <c r="L1359" s="148"/>
    </row>
    <row r="1360" spans="1:12" x14ac:dyDescent="0.2">
      <c r="A1360" s="129" t="str">
        <f>IF(F1360&lt;&gt;"",1+MAX($A$7:A1359),"")</f>
        <v/>
      </c>
      <c r="B1360" s="140"/>
      <c r="C1360" s="140"/>
      <c r="D1360" s="141"/>
      <c r="E1360" s="142" t="s">
        <v>298</v>
      </c>
      <c r="F1360" s="149"/>
      <c r="G1360" s="144"/>
      <c r="H1360" s="143"/>
      <c r="I1360" s="145"/>
      <c r="J1360" s="161"/>
      <c r="K1360" s="105"/>
      <c r="L1360" s="11">
        <f>SUM(K1356:K1359)</f>
        <v>0</v>
      </c>
    </row>
    <row r="1361" spans="1:12" s="18" customFormat="1" ht="18.75" x14ac:dyDescent="0.2">
      <c r="A1361" s="129" t="str">
        <f>IF(F1361&lt;&gt;"",1+MAX($A$7:A1360),"")</f>
        <v/>
      </c>
      <c r="B1361" s="120"/>
      <c r="C1361" s="120"/>
      <c r="D1361" s="121"/>
      <c r="E1361" s="122"/>
      <c r="F1361" s="123"/>
      <c r="G1361" s="124"/>
      <c r="H1361" s="125"/>
      <c r="I1361" s="126"/>
      <c r="J1361" s="127"/>
      <c r="K1361" s="104"/>
      <c r="L1361" s="128"/>
    </row>
    <row r="1362" spans="1:12" x14ac:dyDescent="0.2">
      <c r="A1362" s="129" t="str">
        <f>IF(F1362&lt;&gt;"",1+MAX($A$7:A1361),"")</f>
        <v/>
      </c>
      <c r="B1362" s="140"/>
      <c r="C1362" s="140"/>
      <c r="D1362" s="140"/>
      <c r="E1362" s="156" t="s">
        <v>400</v>
      </c>
      <c r="F1362" s="149"/>
      <c r="G1362" s="144"/>
      <c r="H1362" s="143"/>
      <c r="I1362" s="145"/>
      <c r="J1362" s="23"/>
      <c r="K1362" s="157"/>
      <c r="L1362" s="155"/>
    </row>
    <row r="1363" spans="1:12" s="18" customFormat="1" ht="31.5" x14ac:dyDescent="0.2">
      <c r="A1363" s="129">
        <f>IF(F1363&lt;&gt;"",1+MAX($A$7:A1362),"")</f>
        <v>480</v>
      </c>
      <c r="B1363" s="140" t="s">
        <v>105</v>
      </c>
      <c r="C1363" s="120" t="s">
        <v>406</v>
      </c>
      <c r="D1363" s="170"/>
      <c r="E1363" s="122" t="s">
        <v>405</v>
      </c>
      <c r="F1363" s="123">
        <f>8568.9+16403.2+11550+3780</f>
        <v>40302.1</v>
      </c>
      <c r="G1363" s="124">
        <v>0.1</v>
      </c>
      <c r="H1363" s="125">
        <f t="shared" ref="H1363" si="93">F1363*(1+G1363)</f>
        <v>44332.310000000005</v>
      </c>
      <c r="I1363" s="126" t="s">
        <v>18</v>
      </c>
      <c r="J1363" s="127">
        <v>0</v>
      </c>
      <c r="K1363" s="104">
        <f t="shared" ref="K1363" si="94">J1363*H1363</f>
        <v>0</v>
      </c>
      <c r="L1363" s="128"/>
    </row>
    <row r="1364" spans="1:12" x14ac:dyDescent="0.2">
      <c r="A1364" s="129" t="str">
        <f>IF(F1364&lt;&gt;"",1+MAX($A$7:A1363),"")</f>
        <v/>
      </c>
      <c r="B1364" s="140"/>
      <c r="C1364" s="140"/>
      <c r="D1364" s="141"/>
      <c r="E1364" s="153"/>
      <c r="F1364" s="143"/>
      <c r="G1364" s="144"/>
      <c r="H1364" s="143"/>
      <c r="I1364" s="145"/>
      <c r="J1364" s="161"/>
      <c r="K1364" s="147"/>
      <c r="L1364" s="148"/>
    </row>
    <row r="1365" spans="1:12" x14ac:dyDescent="0.2">
      <c r="A1365" s="129" t="str">
        <f>IF(F1365&lt;&gt;"",1+MAX($A$7:A1364),"")</f>
        <v/>
      </c>
      <c r="B1365" s="140"/>
      <c r="C1365" s="140"/>
      <c r="D1365" s="141"/>
      <c r="E1365" s="142" t="s">
        <v>401</v>
      </c>
      <c r="F1365" s="149"/>
      <c r="G1365" s="144"/>
      <c r="H1365" s="143"/>
      <c r="I1365" s="145"/>
      <c r="J1365" s="161"/>
      <c r="K1365" s="105"/>
      <c r="L1365" s="11">
        <f>SUM(K1362:K1364)</f>
        <v>0</v>
      </c>
    </row>
    <row r="1366" spans="1:12" s="18" customFormat="1" ht="18.75" x14ac:dyDescent="0.2">
      <c r="A1366" s="129" t="str">
        <f>IF(F1366&lt;&gt;"",1+MAX($A$7:A1365),"")</f>
        <v/>
      </c>
      <c r="B1366" s="120"/>
      <c r="C1366" s="120"/>
      <c r="D1366" s="121"/>
      <c r="E1366" s="122"/>
      <c r="F1366" s="123"/>
      <c r="G1366" s="124"/>
      <c r="H1366" s="125"/>
      <c r="I1366" s="126"/>
      <c r="J1366" s="127"/>
      <c r="K1366" s="104"/>
      <c r="L1366" s="128"/>
    </row>
    <row r="1367" spans="1:12" x14ac:dyDescent="0.2">
      <c r="A1367" s="129" t="str">
        <f>IF(F1367&lt;&gt;"",1+MAX($A$7:A1366),"")</f>
        <v/>
      </c>
      <c r="B1367" s="140"/>
      <c r="C1367" s="140"/>
      <c r="D1367" s="140"/>
      <c r="E1367" s="156" t="s">
        <v>402</v>
      </c>
      <c r="F1367" s="149"/>
      <c r="G1367" s="144"/>
      <c r="H1367" s="143"/>
      <c r="I1367" s="145"/>
      <c r="J1367" s="23"/>
      <c r="K1367" s="157"/>
      <c r="L1367" s="155"/>
    </row>
    <row r="1368" spans="1:12" s="18" customFormat="1" ht="18.75" x14ac:dyDescent="0.2">
      <c r="A1368" s="129">
        <f>IF(F1368&lt;&gt;"",1+MAX($A$7:A1367),"")</f>
        <v>481</v>
      </c>
      <c r="B1368" s="140" t="s">
        <v>105</v>
      </c>
      <c r="C1368" s="120" t="s">
        <v>155</v>
      </c>
      <c r="D1368" s="171"/>
      <c r="E1368" s="122" t="s">
        <v>404</v>
      </c>
      <c r="F1368" s="123">
        <f>1426.4+1132.6+1416.2</f>
        <v>3975.2</v>
      </c>
      <c r="G1368" s="124">
        <v>0.1</v>
      </c>
      <c r="H1368" s="125">
        <f t="shared" ref="H1368" si="95">F1368*(1+G1368)</f>
        <v>4372.72</v>
      </c>
      <c r="I1368" s="126" t="s">
        <v>18</v>
      </c>
      <c r="J1368" s="127">
        <v>0</v>
      </c>
      <c r="K1368" s="104">
        <f t="shared" ref="K1368" si="96">J1368*H1368</f>
        <v>0</v>
      </c>
      <c r="L1368" s="128"/>
    </row>
    <row r="1369" spans="1:12" x14ac:dyDescent="0.2">
      <c r="A1369" s="129" t="str">
        <f>IF(F1369&lt;&gt;"",1+MAX($A$7:A1368),"")</f>
        <v/>
      </c>
      <c r="B1369" s="140"/>
      <c r="C1369" s="140"/>
      <c r="D1369" s="141"/>
      <c r="E1369" s="153"/>
      <c r="F1369" s="143"/>
      <c r="G1369" s="144"/>
      <c r="H1369" s="143"/>
      <c r="I1369" s="145"/>
      <c r="J1369" s="161"/>
      <c r="K1369" s="147"/>
      <c r="L1369" s="148"/>
    </row>
    <row r="1370" spans="1:12" x14ac:dyDescent="0.2">
      <c r="A1370" s="129" t="str">
        <f>IF(F1370&lt;&gt;"",1+MAX($A$7:A1369),"")</f>
        <v/>
      </c>
      <c r="B1370" s="140"/>
      <c r="C1370" s="140"/>
      <c r="D1370" s="141"/>
      <c r="E1370" s="142" t="s">
        <v>403</v>
      </c>
      <c r="F1370" s="149"/>
      <c r="G1370" s="144"/>
      <c r="H1370" s="143"/>
      <c r="I1370" s="145"/>
      <c r="J1370" s="161"/>
      <c r="K1370" s="105"/>
      <c r="L1370" s="11">
        <f>SUM(K1367:K1369)</f>
        <v>0</v>
      </c>
    </row>
    <row r="1371" spans="1:12" s="18" customFormat="1" ht="18.75" x14ac:dyDescent="0.2">
      <c r="A1371" s="129" t="str">
        <f>IF(F1371&lt;&gt;"",1+MAX($A$7:A1370),"")</f>
        <v/>
      </c>
      <c r="B1371" s="120"/>
      <c r="C1371" s="120"/>
      <c r="D1371" s="121"/>
      <c r="E1371" s="122"/>
      <c r="F1371" s="123"/>
      <c r="G1371" s="124"/>
      <c r="H1371" s="125"/>
      <c r="I1371" s="126"/>
      <c r="J1371" s="127"/>
      <c r="K1371" s="104"/>
      <c r="L1371" s="128"/>
    </row>
    <row r="1372" spans="1:12" x14ac:dyDescent="0.2">
      <c r="A1372" s="129" t="str">
        <f>IF(F1372&lt;&gt;"",1+MAX($A$7:A1371),"")</f>
        <v/>
      </c>
      <c r="B1372" s="140"/>
      <c r="C1372" s="140"/>
      <c r="D1372" s="140"/>
      <c r="E1372" s="156" t="s">
        <v>63</v>
      </c>
      <c r="F1372" s="149"/>
      <c r="G1372" s="144"/>
      <c r="H1372" s="143"/>
      <c r="I1372" s="145"/>
      <c r="J1372" s="23"/>
      <c r="K1372" s="157"/>
      <c r="L1372" s="155"/>
    </row>
    <row r="1373" spans="1:12" x14ac:dyDescent="0.2">
      <c r="A1373" s="129" t="str">
        <f>IF(F1373&lt;&gt;"",1+MAX($A$7:A1372),"")</f>
        <v/>
      </c>
      <c r="B1373" s="140"/>
      <c r="C1373" s="140"/>
      <c r="D1373" s="141"/>
      <c r="E1373" s="158" t="s">
        <v>163</v>
      </c>
      <c r="F1373" s="149"/>
      <c r="G1373" s="144"/>
      <c r="H1373" s="143"/>
      <c r="I1373" s="145"/>
      <c r="J1373" s="161"/>
      <c r="K1373" s="104"/>
      <c r="L1373" s="148"/>
    </row>
    <row r="1374" spans="1:12" s="17" customFormat="1" ht="63" x14ac:dyDescent="0.2">
      <c r="A1374" s="129">
        <f>IF(F1374&lt;&gt;"",1+MAX($A$7:A1373),"")</f>
        <v>482</v>
      </c>
      <c r="B1374" s="140" t="s">
        <v>166</v>
      </c>
      <c r="C1374" s="120" t="s">
        <v>165</v>
      </c>
      <c r="D1374" s="121"/>
      <c r="E1374" s="122" t="s">
        <v>164</v>
      </c>
      <c r="F1374" s="123">
        <f>24900.7+71.8*0.5+56.7*0.58+133*1+109.9*1.334+38*1.42+397.4*1.5+11.1*2+38.1*4.42+38.1*5+1078.6*8+58.7*2*2+79.4*3.83+41.6*4.83+31.6*4.83*2+89*7+44*2.334</f>
        <v>36679.836600000002</v>
      </c>
      <c r="G1374" s="124">
        <v>0.1</v>
      </c>
      <c r="H1374" s="125">
        <f t="shared" ref="H1374" si="97">F1374*(1+G1374)</f>
        <v>40347.820260000008</v>
      </c>
      <c r="I1374" s="126" t="s">
        <v>18</v>
      </c>
      <c r="J1374" s="127">
        <v>0</v>
      </c>
      <c r="K1374" s="104">
        <f t="shared" ref="K1374" si="98">J1374*H1374</f>
        <v>0</v>
      </c>
      <c r="L1374" s="128"/>
    </row>
    <row r="1375" spans="1:12" s="17" customFormat="1" ht="63" x14ac:dyDescent="0.2">
      <c r="A1375" s="129">
        <f>IF(F1375&lt;&gt;"",1+MAX($A$7:A1374),"")</f>
        <v>483</v>
      </c>
      <c r="B1375" s="140" t="s">
        <v>166</v>
      </c>
      <c r="C1375" s="120" t="s">
        <v>165</v>
      </c>
      <c r="D1375" s="121"/>
      <c r="E1375" s="122" t="s">
        <v>167</v>
      </c>
      <c r="F1375" s="123">
        <f>3924+9.2*0.67+87*1+41.9*1.83+81.9*1.167+186.3*1.5+9.2*1.67+9.2*1.75+18.3*2.42</f>
        <v>4544.6183000000001</v>
      </c>
      <c r="G1375" s="124">
        <v>0.1</v>
      </c>
      <c r="H1375" s="125">
        <f t="shared" ref="H1375" si="99">F1375*(1+G1375)</f>
        <v>4999.0801300000003</v>
      </c>
      <c r="I1375" s="126" t="s">
        <v>18</v>
      </c>
      <c r="J1375" s="127">
        <f t="shared" ref="J1375:J1376" si="100">J$1374</f>
        <v>0</v>
      </c>
      <c r="K1375" s="104">
        <f t="shared" ref="K1375" si="101">J1375*H1375</f>
        <v>0</v>
      </c>
      <c r="L1375" s="128"/>
    </row>
    <row r="1376" spans="1:12" s="17" customFormat="1" ht="63" x14ac:dyDescent="0.2">
      <c r="A1376" s="129">
        <f>IF(F1376&lt;&gt;"",1+MAX($A$7:A1375),"")</f>
        <v>484</v>
      </c>
      <c r="B1376" s="140" t="s">
        <v>166</v>
      </c>
      <c r="C1376" s="120" t="s">
        <v>165</v>
      </c>
      <c r="D1376" s="121"/>
      <c r="E1376" s="122" t="s">
        <v>168</v>
      </c>
      <c r="F1376" s="123">
        <f>616.1+80*2.334</f>
        <v>802.82</v>
      </c>
      <c r="G1376" s="124">
        <v>0.1</v>
      </c>
      <c r="H1376" s="125">
        <f t="shared" ref="H1376:H1377" si="102">F1376*(1+G1376)</f>
        <v>883.10200000000009</v>
      </c>
      <c r="I1376" s="126" t="s">
        <v>18</v>
      </c>
      <c r="J1376" s="127">
        <f t="shared" si="100"/>
        <v>0</v>
      </c>
      <c r="K1376" s="104">
        <f t="shared" ref="K1376:K1377" si="103">J1376*H1376</f>
        <v>0</v>
      </c>
      <c r="L1376" s="128"/>
    </row>
    <row r="1377" spans="1:12" s="17" customFormat="1" ht="78.75" x14ac:dyDescent="0.2">
      <c r="A1377" s="129">
        <f>IF(F1377&lt;&gt;"",1+MAX($A$7:A1376),"")</f>
        <v>485</v>
      </c>
      <c r="B1377" s="140" t="s">
        <v>166</v>
      </c>
      <c r="C1377" s="120" t="s">
        <v>165</v>
      </c>
      <c r="D1377" s="121"/>
      <c r="E1377" s="122" t="s">
        <v>210</v>
      </c>
      <c r="F1377" s="123">
        <f>9.8*2.334+80.2*3.83+97.2*2.1+80.8*4.167+27.5*5.334</f>
        <v>1017.5378000000001</v>
      </c>
      <c r="G1377" s="124">
        <v>0.1</v>
      </c>
      <c r="H1377" s="125">
        <f t="shared" si="102"/>
        <v>1119.2915800000001</v>
      </c>
      <c r="I1377" s="126" t="s">
        <v>18</v>
      </c>
      <c r="J1377" s="127">
        <v>0</v>
      </c>
      <c r="K1377" s="104">
        <f t="shared" si="103"/>
        <v>0</v>
      </c>
      <c r="L1377" s="128"/>
    </row>
    <row r="1378" spans="1:12" s="17" customFormat="1" ht="94.5" x14ac:dyDescent="0.2">
      <c r="A1378" s="129">
        <f>IF(F1378&lt;&gt;"",1+MAX($A$7:A1377),"")</f>
        <v>486</v>
      </c>
      <c r="B1378" s="140" t="s">
        <v>166</v>
      </c>
      <c r="C1378" s="120" t="s">
        <v>165</v>
      </c>
      <c r="D1378" s="170"/>
      <c r="E1378" s="122" t="s">
        <v>409</v>
      </c>
      <c r="F1378" s="123">
        <f>36.6*5.25</f>
        <v>192.15</v>
      </c>
      <c r="G1378" s="124">
        <v>0.1</v>
      </c>
      <c r="H1378" s="125">
        <f t="shared" ref="H1378" si="104">F1378*(1+G1378)</f>
        <v>211.36500000000004</v>
      </c>
      <c r="I1378" s="126" t="s">
        <v>18</v>
      </c>
      <c r="J1378" s="127">
        <v>0</v>
      </c>
      <c r="K1378" s="104">
        <f t="shared" ref="K1378" si="105">J1378*H1378</f>
        <v>0</v>
      </c>
      <c r="L1378" s="128"/>
    </row>
    <row r="1379" spans="1:12" s="17" customFormat="1" ht="78.75" x14ac:dyDescent="0.2">
      <c r="A1379" s="129">
        <f>IF(F1379&lt;&gt;"",1+MAX($A$7:A1378),"")</f>
        <v>487</v>
      </c>
      <c r="B1379" s="140" t="s">
        <v>166</v>
      </c>
      <c r="C1379" s="120" t="s">
        <v>165</v>
      </c>
      <c r="D1379" s="170"/>
      <c r="E1379" s="122" t="s">
        <v>211</v>
      </c>
      <c r="F1379" s="123">
        <f>12.8*1.167</f>
        <v>14.937600000000002</v>
      </c>
      <c r="G1379" s="124">
        <v>0.1</v>
      </c>
      <c r="H1379" s="125">
        <f t="shared" ref="H1379:H1380" si="106">F1379*(1+G1379)</f>
        <v>16.431360000000002</v>
      </c>
      <c r="I1379" s="126" t="s">
        <v>18</v>
      </c>
      <c r="J1379" s="127">
        <f>J$1377</f>
        <v>0</v>
      </c>
      <c r="K1379" s="104">
        <f t="shared" ref="K1379:K1380" si="107">J1379*H1379</f>
        <v>0</v>
      </c>
      <c r="L1379" s="128"/>
    </row>
    <row r="1380" spans="1:12" s="18" customFormat="1" ht="63" x14ac:dyDescent="0.2">
      <c r="A1380" s="129">
        <f>IF(F1380&lt;&gt;"",1+MAX($A$7:A1379),"")</f>
        <v>488</v>
      </c>
      <c r="B1380" s="140" t="s">
        <v>105</v>
      </c>
      <c r="C1380" s="120" t="s">
        <v>155</v>
      </c>
      <c r="D1380" s="121"/>
      <c r="E1380" s="122" t="s">
        <v>737</v>
      </c>
      <c r="F1380" s="123">
        <f>1426.4+1132.6+1416.2</f>
        <v>3975.2</v>
      </c>
      <c r="G1380" s="124">
        <v>0.1</v>
      </c>
      <c r="H1380" s="125">
        <f t="shared" si="106"/>
        <v>4372.72</v>
      </c>
      <c r="I1380" s="126" t="s">
        <v>18</v>
      </c>
      <c r="J1380" s="127">
        <f t="shared" ref="J1380" si="108">J$1374</f>
        <v>0</v>
      </c>
      <c r="K1380" s="104">
        <f t="shared" si="107"/>
        <v>0</v>
      </c>
      <c r="L1380" s="128"/>
    </row>
    <row r="1381" spans="1:12" x14ac:dyDescent="0.2">
      <c r="A1381" s="129" t="str">
        <f>IF(F1381&lt;&gt;"",1+MAX($A$7:A1380),"")</f>
        <v/>
      </c>
      <c r="B1381" s="140"/>
      <c r="C1381" s="140"/>
      <c r="D1381" s="141"/>
      <c r="E1381" s="158" t="s">
        <v>374</v>
      </c>
      <c r="F1381" s="149"/>
      <c r="G1381" s="144"/>
      <c r="H1381" s="143"/>
      <c r="I1381" s="145"/>
      <c r="J1381" s="161"/>
      <c r="K1381" s="104"/>
      <c r="L1381" s="148"/>
    </row>
    <row r="1382" spans="1:12" s="17" customFormat="1" ht="330.75" x14ac:dyDescent="0.2">
      <c r="A1382" s="129">
        <f>IF(F1382&lt;&gt;"",1+MAX($A$7:A1381),"")</f>
        <v>489</v>
      </c>
      <c r="B1382" s="140" t="s">
        <v>166</v>
      </c>
      <c r="C1382" s="120" t="s">
        <v>375</v>
      </c>
      <c r="D1382" s="121"/>
      <c r="E1382" s="172" t="s">
        <v>376</v>
      </c>
      <c r="F1382" s="123">
        <v>1</v>
      </c>
      <c r="G1382" s="124">
        <v>0</v>
      </c>
      <c r="H1382" s="125">
        <f t="shared" ref="H1382" si="109">F1382*(1+G1382)</f>
        <v>1</v>
      </c>
      <c r="I1382" s="126" t="s">
        <v>354</v>
      </c>
      <c r="J1382" s="127">
        <v>0</v>
      </c>
      <c r="K1382" s="104">
        <f t="shared" ref="K1382" si="110">J1382*H1382</f>
        <v>0</v>
      </c>
      <c r="L1382" s="128"/>
    </row>
    <row r="1383" spans="1:12" s="17" customFormat="1" ht="252" x14ac:dyDescent="0.2">
      <c r="A1383" s="129">
        <f>IF(F1383&lt;&gt;"",1+MAX($A$7:A1382),"")</f>
        <v>490</v>
      </c>
      <c r="B1383" s="140" t="s">
        <v>166</v>
      </c>
      <c r="C1383" s="120" t="s">
        <v>375</v>
      </c>
      <c r="D1383" s="121"/>
      <c r="E1383" s="172" t="s">
        <v>377</v>
      </c>
      <c r="F1383" s="123">
        <v>1</v>
      </c>
      <c r="G1383" s="124">
        <v>0</v>
      </c>
      <c r="H1383" s="125">
        <f t="shared" ref="H1383" si="111">F1383*(1+G1383)</f>
        <v>1</v>
      </c>
      <c r="I1383" s="126" t="s">
        <v>354</v>
      </c>
      <c r="J1383" s="127">
        <v>0</v>
      </c>
      <c r="K1383" s="104">
        <f t="shared" ref="K1383" si="112">J1383*H1383</f>
        <v>0</v>
      </c>
      <c r="L1383" s="128"/>
    </row>
    <row r="1384" spans="1:12" x14ac:dyDescent="0.2">
      <c r="A1384" s="129" t="str">
        <f>IF(F1384&lt;&gt;"",1+MAX($A$7:A1383),"")</f>
        <v/>
      </c>
      <c r="B1384" s="140"/>
      <c r="C1384" s="140"/>
      <c r="D1384" s="141"/>
      <c r="E1384" s="153"/>
      <c r="F1384" s="143"/>
      <c r="G1384" s="144"/>
      <c r="H1384" s="143"/>
      <c r="I1384" s="145"/>
      <c r="J1384" s="161"/>
      <c r="K1384" s="147"/>
      <c r="L1384" s="148"/>
    </row>
    <row r="1385" spans="1:12" x14ac:dyDescent="0.2">
      <c r="A1385" s="129" t="str">
        <f>IF(F1385&lt;&gt;"",1+MAX($A$7:A1384),"")</f>
        <v/>
      </c>
      <c r="B1385" s="140"/>
      <c r="C1385" s="140"/>
      <c r="D1385" s="141"/>
      <c r="E1385" s="142" t="s">
        <v>64</v>
      </c>
      <c r="F1385" s="149"/>
      <c r="G1385" s="144"/>
      <c r="H1385" s="143"/>
      <c r="I1385" s="145"/>
      <c r="J1385" s="161"/>
      <c r="K1385" s="105"/>
      <c r="L1385" s="11">
        <f>SUM(K1372:K1384)</f>
        <v>0</v>
      </c>
    </row>
    <row r="1386" spans="1:12" s="18" customFormat="1" ht="18.75" x14ac:dyDescent="0.2">
      <c r="A1386" s="129" t="str">
        <f>IF(F1386&lt;&gt;"",1+MAX($A$7:A1385),"")</f>
        <v/>
      </c>
      <c r="B1386" s="120"/>
      <c r="C1386" s="120"/>
      <c r="D1386" s="121"/>
      <c r="E1386" s="122"/>
      <c r="F1386" s="123"/>
      <c r="G1386" s="124"/>
      <c r="H1386" s="125"/>
      <c r="I1386" s="126"/>
      <c r="J1386" s="127"/>
      <c r="K1386" s="104"/>
      <c r="L1386" s="128"/>
    </row>
    <row r="1387" spans="1:12" x14ac:dyDescent="0.2">
      <c r="A1387" s="129" t="str">
        <f>IF(F1387&lt;&gt;"",1+MAX($A$7:A1386),"")</f>
        <v/>
      </c>
      <c r="B1387" s="140"/>
      <c r="C1387" s="140"/>
      <c r="D1387" s="140"/>
      <c r="E1387" s="156" t="s">
        <v>37</v>
      </c>
      <c r="F1387" s="149"/>
      <c r="G1387" s="144"/>
      <c r="H1387" s="143"/>
      <c r="I1387" s="145"/>
      <c r="J1387" s="23"/>
      <c r="K1387" s="157"/>
      <c r="L1387" s="155"/>
    </row>
    <row r="1388" spans="1:12" x14ac:dyDescent="0.2">
      <c r="A1388" s="129" t="str">
        <f>IF(F1388&lt;&gt;"",1+MAX($A$7:A1387),"")</f>
        <v/>
      </c>
      <c r="B1388" s="140"/>
      <c r="C1388" s="140"/>
      <c r="D1388" s="141"/>
      <c r="E1388" s="158" t="s">
        <v>38</v>
      </c>
      <c r="F1388" s="149"/>
      <c r="G1388" s="144"/>
      <c r="H1388" s="143"/>
      <c r="I1388" s="145"/>
      <c r="J1388" s="161"/>
      <c r="K1388" s="104"/>
      <c r="L1388" s="148"/>
    </row>
    <row r="1389" spans="1:12" x14ac:dyDescent="0.2">
      <c r="A1389" s="129">
        <f>IF(F1389&lt;&gt;"",1+MAX($A$7:A1388),"")</f>
        <v>491</v>
      </c>
      <c r="B1389" s="140" t="s">
        <v>105</v>
      </c>
      <c r="C1389" s="120"/>
      <c r="D1389" s="141"/>
      <c r="E1389" s="163" t="s">
        <v>99</v>
      </c>
      <c r="F1389" s="149">
        <f>270925+10117+2246-517</f>
        <v>282771</v>
      </c>
      <c r="G1389" s="124">
        <v>0.1</v>
      </c>
      <c r="H1389" s="143">
        <f t="shared" ref="H1389" si="113">F1389*(1+G1389)</f>
        <v>311048.10000000003</v>
      </c>
      <c r="I1389" s="145" t="s">
        <v>18</v>
      </c>
      <c r="J1389" s="127">
        <v>0</v>
      </c>
      <c r="K1389" s="104">
        <f t="shared" ref="K1389" si="114">J1389*H1389</f>
        <v>0</v>
      </c>
      <c r="L1389" s="148"/>
    </row>
    <row r="1390" spans="1:12" x14ac:dyDescent="0.2">
      <c r="A1390" s="129">
        <f>IF(F1390&lt;&gt;"",1+MAX($A$7:A1389),"")</f>
        <v>492</v>
      </c>
      <c r="B1390" s="140" t="s">
        <v>105</v>
      </c>
      <c r="C1390" s="120"/>
      <c r="D1390" s="141"/>
      <c r="E1390" s="163" t="s">
        <v>395</v>
      </c>
      <c r="F1390" s="149">
        <f>1333.2*10+1317.3*9.9</f>
        <v>26373.27</v>
      </c>
      <c r="G1390" s="124">
        <v>0.1</v>
      </c>
      <c r="H1390" s="143">
        <f t="shared" ref="H1390" si="115">F1390*(1+G1390)</f>
        <v>29010.597000000002</v>
      </c>
      <c r="I1390" s="145" t="s">
        <v>18</v>
      </c>
      <c r="J1390" s="127">
        <v>0</v>
      </c>
      <c r="K1390" s="104">
        <f t="shared" ref="K1390" si="116">J1390*H1390</f>
        <v>0</v>
      </c>
      <c r="L1390" s="148"/>
    </row>
    <row r="1391" spans="1:12" x14ac:dyDescent="0.2">
      <c r="A1391" s="129" t="str">
        <f>IF(F1391&lt;&gt;"",1+MAX($A$7:A1390),"")</f>
        <v/>
      </c>
      <c r="B1391" s="140"/>
      <c r="C1391" s="140"/>
      <c r="D1391" s="141"/>
      <c r="E1391" s="158" t="s">
        <v>39</v>
      </c>
      <c r="F1391" s="149"/>
      <c r="G1391" s="144"/>
      <c r="H1391" s="143"/>
      <c r="I1391" s="145"/>
      <c r="J1391" s="161"/>
      <c r="K1391" s="104"/>
      <c r="L1391" s="148"/>
    </row>
    <row r="1392" spans="1:12" x14ac:dyDescent="0.2">
      <c r="A1392" s="129">
        <f>IF(F1392&lt;&gt;"",1+MAX($A$7:A1391),"")</f>
        <v>493</v>
      </c>
      <c r="B1392" s="140" t="s">
        <v>105</v>
      </c>
      <c r="C1392" s="120"/>
      <c r="D1392" s="141"/>
      <c r="E1392" s="163" t="s">
        <v>95</v>
      </c>
      <c r="F1392" s="123">
        <v>63937</v>
      </c>
      <c r="G1392" s="124">
        <v>0.1</v>
      </c>
      <c r="H1392" s="143">
        <f t="shared" ref="H1392" si="117">F1392*(1+G1392)</f>
        <v>70330.700000000012</v>
      </c>
      <c r="I1392" s="145" t="s">
        <v>18</v>
      </c>
      <c r="J1392" s="127">
        <v>0</v>
      </c>
      <c r="K1392" s="104">
        <f t="shared" ref="K1392" si="118">J1392*H1392</f>
        <v>0</v>
      </c>
      <c r="L1392" s="148"/>
    </row>
    <row r="1393" spans="1:12" x14ac:dyDescent="0.2">
      <c r="A1393" s="129">
        <f>IF(F1393&lt;&gt;"",1+MAX($A$7:A1392),"")</f>
        <v>494</v>
      </c>
      <c r="B1393" s="140" t="s">
        <v>105</v>
      </c>
      <c r="C1393" s="120"/>
      <c r="D1393" s="141"/>
      <c r="E1393" s="163" t="s">
        <v>209</v>
      </c>
      <c r="F1393" s="123">
        <f>24201.4+10820.6+25</f>
        <v>35047</v>
      </c>
      <c r="G1393" s="124">
        <v>0.1</v>
      </c>
      <c r="H1393" s="143">
        <f t="shared" ref="H1393" si="119">F1393*(1+G1393)</f>
        <v>38551.700000000004</v>
      </c>
      <c r="I1393" s="145" t="s">
        <v>18</v>
      </c>
      <c r="J1393" s="127">
        <v>0</v>
      </c>
      <c r="K1393" s="104">
        <f t="shared" ref="K1393" si="120">J1393*H1393</f>
        <v>0</v>
      </c>
      <c r="L1393" s="148"/>
    </row>
    <row r="1394" spans="1:12" x14ac:dyDescent="0.2">
      <c r="A1394" s="129" t="str">
        <f>IF(F1394&lt;&gt;"",1+MAX($A$7:A1393),"")</f>
        <v/>
      </c>
      <c r="B1394" s="140"/>
      <c r="C1394" s="140"/>
      <c r="D1394" s="141"/>
      <c r="E1394" s="158" t="s">
        <v>96</v>
      </c>
      <c r="F1394" s="149"/>
      <c r="G1394" s="144"/>
      <c r="H1394" s="143"/>
      <c r="I1394" s="145"/>
      <c r="J1394" s="161"/>
      <c r="K1394" s="104"/>
      <c r="L1394" s="148"/>
    </row>
    <row r="1395" spans="1:12" s="17" customFormat="1" ht="18.75" x14ac:dyDescent="0.2">
      <c r="A1395" s="129">
        <f>IF(F1395&lt;&gt;"",1+MAX($A$7:A1394),"")</f>
        <v>495</v>
      </c>
      <c r="B1395" s="140" t="s">
        <v>105</v>
      </c>
      <c r="C1395" s="120"/>
      <c r="D1395" s="121"/>
      <c r="E1395" s="163" t="s">
        <v>97</v>
      </c>
      <c r="F1395" s="123">
        <v>380</v>
      </c>
      <c r="G1395" s="124">
        <v>0</v>
      </c>
      <c r="H1395" s="125">
        <f>F1395*(1+G1395)</f>
        <v>380</v>
      </c>
      <c r="I1395" s="126" t="s">
        <v>20</v>
      </c>
      <c r="J1395" s="127">
        <v>0</v>
      </c>
      <c r="K1395" s="104">
        <f>J1395*H1395</f>
        <v>0</v>
      </c>
      <c r="L1395" s="128"/>
    </row>
    <row r="1396" spans="1:12" s="17" customFormat="1" ht="18.75" x14ac:dyDescent="0.2">
      <c r="A1396" s="129">
        <f>IF(F1396&lt;&gt;"",1+MAX($A$7:A1395),"")</f>
        <v>496</v>
      </c>
      <c r="B1396" s="140" t="s">
        <v>105</v>
      </c>
      <c r="C1396" s="120"/>
      <c r="D1396" s="121"/>
      <c r="E1396" s="163" t="s">
        <v>98</v>
      </c>
      <c r="F1396" s="123">
        <v>120</v>
      </c>
      <c r="G1396" s="124">
        <v>0</v>
      </c>
      <c r="H1396" s="125">
        <f>F1396*(1+G1396)</f>
        <v>120</v>
      </c>
      <c r="I1396" s="126" t="s">
        <v>20</v>
      </c>
      <c r="J1396" s="127">
        <v>0</v>
      </c>
      <c r="K1396" s="104">
        <f>J1396*H1396</f>
        <v>0</v>
      </c>
      <c r="L1396" s="128"/>
    </row>
    <row r="1397" spans="1:12" x14ac:dyDescent="0.2">
      <c r="A1397" s="129" t="str">
        <f>IF(F1397&lt;&gt;"",1+MAX($A$7:A1396),"")</f>
        <v/>
      </c>
      <c r="B1397" s="140"/>
      <c r="C1397" s="140"/>
      <c r="D1397" s="141"/>
      <c r="E1397" s="153"/>
      <c r="F1397" s="143"/>
      <c r="G1397" s="144"/>
      <c r="H1397" s="143"/>
      <c r="I1397" s="145"/>
      <c r="J1397" s="161"/>
      <c r="K1397" s="147"/>
      <c r="L1397" s="148"/>
    </row>
    <row r="1398" spans="1:12" x14ac:dyDescent="0.2">
      <c r="A1398" s="129" t="str">
        <f>IF(F1398&lt;&gt;"",1+MAX($A$7:A1397),"")</f>
        <v/>
      </c>
      <c r="B1398" s="140"/>
      <c r="C1398" s="140"/>
      <c r="D1398" s="141"/>
      <c r="E1398" s="142" t="s">
        <v>40</v>
      </c>
      <c r="F1398" s="149"/>
      <c r="G1398" s="144"/>
      <c r="H1398" s="143"/>
      <c r="I1398" s="145"/>
      <c r="J1398" s="161"/>
      <c r="K1398" s="105"/>
      <c r="L1398" s="11">
        <f>SUM(K1388:K1397)</f>
        <v>0</v>
      </c>
    </row>
    <row r="1399" spans="1:12" x14ac:dyDescent="0.2">
      <c r="A1399" s="129" t="str">
        <f>IF(F1399&lt;&gt;"",1+MAX($A$7:A1398),"")</f>
        <v/>
      </c>
      <c r="B1399" s="140"/>
      <c r="C1399" s="140"/>
      <c r="D1399" s="141"/>
      <c r="E1399" s="163"/>
      <c r="F1399" s="149"/>
      <c r="G1399" s="144"/>
      <c r="H1399" s="143"/>
      <c r="I1399" s="145"/>
      <c r="J1399" s="161"/>
      <c r="K1399" s="105"/>
      <c r="L1399" s="148"/>
    </row>
    <row r="1400" spans="1:12" x14ac:dyDescent="0.2">
      <c r="A1400" s="129" t="str">
        <f>IF(F1400&lt;&gt;"",1+MAX($A$7:A1399),"")</f>
        <v/>
      </c>
      <c r="B1400" s="140"/>
      <c r="C1400" s="145"/>
      <c r="D1400" s="173" t="s">
        <v>23</v>
      </c>
      <c r="E1400" s="156" t="s">
        <v>24</v>
      </c>
      <c r="F1400" s="149"/>
      <c r="G1400" s="144"/>
      <c r="H1400" s="143"/>
      <c r="I1400" s="145"/>
      <c r="J1400" s="161"/>
      <c r="K1400" s="104"/>
      <c r="L1400" s="148"/>
    </row>
    <row r="1401" spans="1:12" x14ac:dyDescent="0.2">
      <c r="A1401" s="129" t="str">
        <f>IF(F1401&lt;&gt;"",1+MAX($A$7:A1400),"")</f>
        <v/>
      </c>
      <c r="B1401" s="140"/>
      <c r="C1401" s="140"/>
      <c r="D1401" s="174"/>
      <c r="E1401" s="175" t="s">
        <v>29</v>
      </c>
      <c r="F1401" s="153"/>
      <c r="G1401" s="153"/>
      <c r="H1401" s="153"/>
      <c r="I1401" s="153"/>
      <c r="J1401" s="176"/>
      <c r="K1401" s="153"/>
      <c r="L1401" s="148"/>
    </row>
    <row r="1402" spans="1:12" x14ac:dyDescent="0.2">
      <c r="A1402" s="129">
        <f>IF(F1402&lt;&gt;"",1+MAX($A$7:A1401),"")</f>
        <v>497</v>
      </c>
      <c r="B1402" s="140" t="s">
        <v>307</v>
      </c>
      <c r="C1402" s="140" t="s">
        <v>308</v>
      </c>
      <c r="D1402" s="141"/>
      <c r="E1402" s="163" t="s">
        <v>62</v>
      </c>
      <c r="F1402" s="149">
        <f>6+9</f>
        <v>15</v>
      </c>
      <c r="G1402" s="144">
        <v>0</v>
      </c>
      <c r="H1402" s="143">
        <f t="shared" ref="H1402:H1413" si="121">F1402*(1+G1402)</f>
        <v>15</v>
      </c>
      <c r="I1402" s="145" t="s">
        <v>20</v>
      </c>
      <c r="J1402" s="127">
        <v>0</v>
      </c>
      <c r="K1402" s="104">
        <f t="shared" ref="K1402:K1413" si="122">J1402*H1402</f>
        <v>0</v>
      </c>
      <c r="L1402" s="148"/>
    </row>
    <row r="1403" spans="1:12" x14ac:dyDescent="0.2">
      <c r="A1403" s="129">
        <f>IF(F1403&lt;&gt;"",1+MAX($A$7:A1402),"")</f>
        <v>498</v>
      </c>
      <c r="B1403" s="140" t="s">
        <v>307</v>
      </c>
      <c r="C1403" s="140" t="s">
        <v>308</v>
      </c>
      <c r="D1403" s="141"/>
      <c r="E1403" s="163" t="s">
        <v>309</v>
      </c>
      <c r="F1403" s="149">
        <v>11</v>
      </c>
      <c r="G1403" s="144">
        <v>0</v>
      </c>
      <c r="H1403" s="143">
        <f t="shared" si="121"/>
        <v>11</v>
      </c>
      <c r="I1403" s="145" t="s">
        <v>20</v>
      </c>
      <c r="J1403" s="127">
        <v>0</v>
      </c>
      <c r="K1403" s="104">
        <f t="shared" si="122"/>
        <v>0</v>
      </c>
      <c r="L1403" s="148"/>
    </row>
    <row r="1404" spans="1:12" x14ac:dyDescent="0.2">
      <c r="A1404" s="129">
        <f>IF(F1404&lt;&gt;"",1+MAX($A$7:A1403),"")</f>
        <v>499</v>
      </c>
      <c r="B1404" s="140" t="s">
        <v>307</v>
      </c>
      <c r="C1404" s="140" t="s">
        <v>308</v>
      </c>
      <c r="D1404" s="141"/>
      <c r="E1404" s="163" t="s">
        <v>68</v>
      </c>
      <c r="F1404" s="149">
        <v>18</v>
      </c>
      <c r="G1404" s="144">
        <v>0</v>
      </c>
      <c r="H1404" s="143">
        <f t="shared" si="121"/>
        <v>18</v>
      </c>
      <c r="I1404" s="145" t="s">
        <v>20</v>
      </c>
      <c r="J1404" s="127">
        <v>0</v>
      </c>
      <c r="K1404" s="104">
        <f t="shared" si="122"/>
        <v>0</v>
      </c>
      <c r="L1404" s="148"/>
    </row>
    <row r="1405" spans="1:12" x14ac:dyDescent="0.2">
      <c r="A1405" s="129">
        <f>IF(F1405&lt;&gt;"",1+MAX($A$7:A1404),"")</f>
        <v>500</v>
      </c>
      <c r="B1405" s="140" t="s">
        <v>307</v>
      </c>
      <c r="C1405" s="140" t="s">
        <v>308</v>
      </c>
      <c r="D1405" s="141"/>
      <c r="E1405" s="163" t="s">
        <v>310</v>
      </c>
      <c r="F1405" s="149">
        <v>83</v>
      </c>
      <c r="G1405" s="144">
        <v>0</v>
      </c>
      <c r="H1405" s="143">
        <f t="shared" si="121"/>
        <v>83</v>
      </c>
      <c r="I1405" s="145" t="s">
        <v>20</v>
      </c>
      <c r="J1405" s="127">
        <v>0</v>
      </c>
      <c r="K1405" s="104">
        <f t="shared" si="122"/>
        <v>0</v>
      </c>
      <c r="L1405" s="148"/>
    </row>
    <row r="1406" spans="1:12" x14ac:dyDescent="0.2">
      <c r="A1406" s="129">
        <f>IF(F1406&lt;&gt;"",1+MAX($A$7:A1405),"")</f>
        <v>501</v>
      </c>
      <c r="B1406" s="140" t="s">
        <v>307</v>
      </c>
      <c r="C1406" s="140" t="s">
        <v>308</v>
      </c>
      <c r="D1406" s="141"/>
      <c r="E1406" s="163" t="s">
        <v>311</v>
      </c>
      <c r="F1406" s="149">
        <v>55</v>
      </c>
      <c r="G1406" s="144">
        <v>0</v>
      </c>
      <c r="H1406" s="143">
        <f t="shared" si="121"/>
        <v>55</v>
      </c>
      <c r="I1406" s="145" t="s">
        <v>20</v>
      </c>
      <c r="J1406" s="127">
        <v>0</v>
      </c>
      <c r="K1406" s="104">
        <f t="shared" si="122"/>
        <v>0</v>
      </c>
      <c r="L1406" s="148"/>
    </row>
    <row r="1407" spans="1:12" ht="31.5" x14ac:dyDescent="0.2">
      <c r="A1407" s="129">
        <f>IF(F1407&lt;&gt;"",1+MAX($A$7:A1406),"")</f>
        <v>502</v>
      </c>
      <c r="B1407" s="140" t="s">
        <v>307</v>
      </c>
      <c r="C1407" s="140" t="s">
        <v>308</v>
      </c>
      <c r="D1407" s="141"/>
      <c r="E1407" s="163" t="s">
        <v>312</v>
      </c>
      <c r="F1407" s="149">
        <f>3+83</f>
        <v>86</v>
      </c>
      <c r="G1407" s="144">
        <v>0</v>
      </c>
      <c r="H1407" s="143">
        <f t="shared" si="121"/>
        <v>86</v>
      </c>
      <c r="I1407" s="145" t="s">
        <v>20</v>
      </c>
      <c r="J1407" s="127">
        <v>0</v>
      </c>
      <c r="K1407" s="104">
        <f t="shared" si="122"/>
        <v>0</v>
      </c>
      <c r="L1407" s="148"/>
    </row>
    <row r="1408" spans="1:12" ht="31.5" x14ac:dyDescent="0.2">
      <c r="A1408" s="129">
        <f>IF(F1408&lt;&gt;"",1+MAX($A$7:A1407),"")</f>
        <v>503</v>
      </c>
      <c r="B1408" s="140" t="s">
        <v>307</v>
      </c>
      <c r="C1408" s="140" t="s">
        <v>308</v>
      </c>
      <c r="D1408" s="141"/>
      <c r="E1408" s="163" t="s">
        <v>313</v>
      </c>
      <c r="F1408" s="149">
        <v>83</v>
      </c>
      <c r="G1408" s="144">
        <v>0</v>
      </c>
      <c r="H1408" s="143">
        <f t="shared" si="121"/>
        <v>83</v>
      </c>
      <c r="I1408" s="145" t="s">
        <v>20</v>
      </c>
      <c r="J1408" s="127">
        <v>0</v>
      </c>
      <c r="K1408" s="104">
        <f t="shared" si="122"/>
        <v>0</v>
      </c>
      <c r="L1408" s="148"/>
    </row>
    <row r="1409" spans="1:12" x14ac:dyDescent="0.2">
      <c r="A1409" s="129">
        <f>IF(F1409&lt;&gt;"",1+MAX($A$7:A1408),"")</f>
        <v>504</v>
      </c>
      <c r="B1409" s="140" t="s">
        <v>307</v>
      </c>
      <c r="C1409" s="140" t="s">
        <v>308</v>
      </c>
      <c r="D1409" s="141"/>
      <c r="E1409" s="163" t="s">
        <v>36</v>
      </c>
      <c r="F1409" s="149">
        <f>3+83</f>
        <v>86</v>
      </c>
      <c r="G1409" s="144">
        <v>0</v>
      </c>
      <c r="H1409" s="143">
        <f t="shared" si="121"/>
        <v>86</v>
      </c>
      <c r="I1409" s="145" t="s">
        <v>20</v>
      </c>
      <c r="J1409" s="127">
        <v>0</v>
      </c>
      <c r="K1409" s="104">
        <f t="shared" si="122"/>
        <v>0</v>
      </c>
      <c r="L1409" s="148"/>
    </row>
    <row r="1410" spans="1:12" x14ac:dyDescent="0.2">
      <c r="A1410" s="129">
        <f>IF(F1410&lt;&gt;"",1+MAX($A$7:A1409),"")</f>
        <v>505</v>
      </c>
      <c r="B1410" s="140" t="s">
        <v>307</v>
      </c>
      <c r="C1410" s="140" t="s">
        <v>308</v>
      </c>
      <c r="D1410" s="141"/>
      <c r="E1410" s="163" t="s">
        <v>61</v>
      </c>
      <c r="F1410" s="149">
        <f>3+83</f>
        <v>86</v>
      </c>
      <c r="G1410" s="144">
        <v>0</v>
      </c>
      <c r="H1410" s="143">
        <f t="shared" si="121"/>
        <v>86</v>
      </c>
      <c r="I1410" s="145" t="s">
        <v>20</v>
      </c>
      <c r="J1410" s="127">
        <v>0</v>
      </c>
      <c r="K1410" s="104">
        <f t="shared" si="122"/>
        <v>0</v>
      </c>
      <c r="L1410" s="148"/>
    </row>
    <row r="1411" spans="1:12" x14ac:dyDescent="0.2">
      <c r="A1411" s="129">
        <f>IF(F1411&lt;&gt;"",1+MAX($A$7:A1410),"")</f>
        <v>506</v>
      </c>
      <c r="B1411" s="140" t="s">
        <v>307</v>
      </c>
      <c r="C1411" s="140" t="s">
        <v>308</v>
      </c>
      <c r="D1411" s="141"/>
      <c r="E1411" s="163" t="s">
        <v>314</v>
      </c>
      <c r="F1411" s="149">
        <f>3+83</f>
        <v>86</v>
      </c>
      <c r="G1411" s="144">
        <v>0</v>
      </c>
      <c r="H1411" s="143">
        <f t="shared" si="121"/>
        <v>86</v>
      </c>
      <c r="I1411" s="145" t="s">
        <v>20</v>
      </c>
      <c r="J1411" s="127">
        <v>0</v>
      </c>
      <c r="K1411" s="104">
        <f t="shared" si="122"/>
        <v>0</v>
      </c>
      <c r="L1411" s="148"/>
    </row>
    <row r="1412" spans="1:12" x14ac:dyDescent="0.2">
      <c r="A1412" s="129">
        <f>IF(F1412&lt;&gt;"",1+MAX($A$7:A1411),"")</f>
        <v>507</v>
      </c>
      <c r="B1412" s="140" t="s">
        <v>307</v>
      </c>
      <c r="C1412" s="140" t="s">
        <v>308</v>
      </c>
      <c r="D1412" s="141"/>
      <c r="E1412" s="163" t="s">
        <v>315</v>
      </c>
      <c r="F1412" s="149">
        <v>3</v>
      </c>
      <c r="G1412" s="144">
        <v>0</v>
      </c>
      <c r="H1412" s="143">
        <f t="shared" si="121"/>
        <v>3</v>
      </c>
      <c r="I1412" s="145" t="s">
        <v>20</v>
      </c>
      <c r="J1412" s="127">
        <v>0</v>
      </c>
      <c r="K1412" s="104">
        <f t="shared" si="122"/>
        <v>0</v>
      </c>
      <c r="L1412" s="148"/>
    </row>
    <row r="1413" spans="1:12" x14ac:dyDescent="0.2">
      <c r="A1413" s="129">
        <f>IF(F1413&lt;&gt;"",1+MAX($A$7:A1412),"")</f>
        <v>508</v>
      </c>
      <c r="B1413" s="140" t="s">
        <v>307</v>
      </c>
      <c r="C1413" s="140" t="s">
        <v>308</v>
      </c>
      <c r="D1413" s="141"/>
      <c r="E1413" s="163" t="s">
        <v>316</v>
      </c>
      <c r="F1413" s="149">
        <v>41</v>
      </c>
      <c r="G1413" s="144">
        <v>0</v>
      </c>
      <c r="H1413" s="143">
        <f t="shared" si="121"/>
        <v>41</v>
      </c>
      <c r="I1413" s="145" t="s">
        <v>20</v>
      </c>
      <c r="J1413" s="127">
        <v>0</v>
      </c>
      <c r="K1413" s="104">
        <f t="shared" si="122"/>
        <v>0</v>
      </c>
      <c r="L1413" s="148"/>
    </row>
    <row r="1414" spans="1:12" x14ac:dyDescent="0.2">
      <c r="A1414" s="129" t="str">
        <f>IF(F1414&lt;&gt;"",1+MAX($A$7:A1413),"")</f>
        <v/>
      </c>
      <c r="B1414" s="140"/>
      <c r="C1414" s="140"/>
      <c r="D1414" s="141"/>
      <c r="E1414" s="142"/>
      <c r="F1414" s="143"/>
      <c r="G1414" s="144"/>
      <c r="H1414" s="143"/>
      <c r="I1414" s="145"/>
      <c r="J1414" s="161"/>
      <c r="K1414" s="147"/>
      <c r="L1414" s="148"/>
    </row>
    <row r="1415" spans="1:12" x14ac:dyDescent="0.2">
      <c r="A1415" s="129" t="str">
        <f>IF(F1415&lt;&gt;"",1+MAX($A$7:A1414),"")</f>
        <v/>
      </c>
      <c r="B1415" s="140"/>
      <c r="C1415" s="140"/>
      <c r="D1415" s="141"/>
      <c r="E1415" s="142" t="s">
        <v>30</v>
      </c>
      <c r="F1415" s="149"/>
      <c r="G1415" s="144"/>
      <c r="H1415" s="143"/>
      <c r="I1415" s="145"/>
      <c r="J1415" s="161"/>
      <c r="K1415" s="105"/>
      <c r="L1415" s="11">
        <f>SUM(K1401:K1414)</f>
        <v>0</v>
      </c>
    </row>
    <row r="1416" spans="1:12" x14ac:dyDescent="0.2">
      <c r="A1416" s="129" t="str">
        <f>IF(F1416&lt;&gt;"",1+MAX($A$7:A1415),"")</f>
        <v/>
      </c>
      <c r="B1416" s="140"/>
      <c r="C1416" s="140"/>
      <c r="D1416" s="141"/>
      <c r="E1416" s="142"/>
      <c r="F1416" s="149"/>
      <c r="G1416" s="144"/>
      <c r="H1416" s="143"/>
      <c r="I1416" s="145"/>
      <c r="J1416" s="161"/>
      <c r="K1416" s="105"/>
      <c r="L1416" s="148"/>
    </row>
    <row r="1417" spans="1:12" x14ac:dyDescent="0.2">
      <c r="A1417" s="129" t="str">
        <f>IF(F1417&lt;&gt;"",1+MAX($A$7:A1416),"")</f>
        <v/>
      </c>
      <c r="B1417" s="140"/>
      <c r="C1417" s="140"/>
      <c r="D1417" s="174"/>
      <c r="E1417" s="175" t="s">
        <v>317</v>
      </c>
      <c r="F1417" s="153"/>
      <c r="G1417" s="153"/>
      <c r="H1417" s="153"/>
      <c r="I1417" s="153"/>
      <c r="J1417" s="176"/>
      <c r="K1417" s="153"/>
      <c r="L1417" s="148"/>
    </row>
    <row r="1418" spans="1:12" ht="31.5" x14ac:dyDescent="0.2">
      <c r="A1418" s="129">
        <f>IF(F1418&lt;&gt;"",1+MAX($A$7:A1417),"")</f>
        <v>509</v>
      </c>
      <c r="B1418" s="140" t="s">
        <v>318</v>
      </c>
      <c r="C1418" s="140" t="s">
        <v>308</v>
      </c>
      <c r="D1418" s="141"/>
      <c r="E1418" s="163" t="s">
        <v>319</v>
      </c>
      <c r="F1418" s="149">
        <v>4</v>
      </c>
      <c r="G1418" s="144">
        <v>0</v>
      </c>
      <c r="H1418" s="143">
        <f t="shared" ref="H1418" si="123">F1418*(1+G1418)</f>
        <v>4</v>
      </c>
      <c r="I1418" s="145" t="s">
        <v>20</v>
      </c>
      <c r="J1418" s="127">
        <v>0</v>
      </c>
      <c r="K1418" s="104">
        <f t="shared" ref="K1418" si="124">J1418*H1418</f>
        <v>0</v>
      </c>
      <c r="L1418" s="148"/>
    </row>
    <row r="1419" spans="1:12" x14ac:dyDescent="0.2">
      <c r="A1419" s="129" t="str">
        <f>IF(F1419&lt;&gt;"",1+MAX($A$7:A1418),"")</f>
        <v/>
      </c>
      <c r="B1419" s="140"/>
      <c r="C1419" s="140"/>
      <c r="D1419" s="177"/>
      <c r="E1419" s="142"/>
      <c r="F1419" s="143"/>
      <c r="G1419" s="144"/>
      <c r="H1419" s="143"/>
      <c r="I1419" s="145"/>
      <c r="J1419" s="161"/>
      <c r="K1419" s="147"/>
      <c r="L1419" s="148"/>
    </row>
    <row r="1420" spans="1:12" x14ac:dyDescent="0.2">
      <c r="A1420" s="129" t="str">
        <f>IF(F1420&lt;&gt;"",1+MAX($A$7:A1419),"")</f>
        <v/>
      </c>
      <c r="B1420" s="140"/>
      <c r="C1420" s="140"/>
      <c r="D1420" s="141"/>
      <c r="E1420" s="142" t="s">
        <v>320</v>
      </c>
      <c r="F1420" s="149"/>
      <c r="G1420" s="144"/>
      <c r="H1420" s="143"/>
      <c r="I1420" s="145"/>
      <c r="J1420" s="161"/>
      <c r="K1420" s="105"/>
      <c r="L1420" s="11">
        <f>SUM(K1417:K1419)</f>
        <v>0</v>
      </c>
    </row>
    <row r="1421" spans="1:12" x14ac:dyDescent="0.2">
      <c r="A1421" s="129" t="str">
        <f>IF(F1421&lt;&gt;"",1+MAX($A$7:A1420),"")</f>
        <v/>
      </c>
      <c r="B1421" s="140"/>
      <c r="C1421" s="140"/>
      <c r="D1421" s="141"/>
      <c r="E1421" s="142"/>
      <c r="F1421" s="149"/>
      <c r="G1421" s="144"/>
      <c r="H1421" s="143"/>
      <c r="I1421" s="145"/>
      <c r="J1421" s="161"/>
      <c r="K1421" s="105"/>
      <c r="L1421" s="148"/>
    </row>
    <row r="1422" spans="1:12" x14ac:dyDescent="0.2">
      <c r="A1422" s="129" t="str">
        <f>IF(F1422&lt;&gt;"",1+MAX($A$7:A1421),"")</f>
        <v/>
      </c>
      <c r="B1422" s="140"/>
      <c r="C1422" s="140"/>
      <c r="D1422" s="174"/>
      <c r="E1422" s="175" t="s">
        <v>321</v>
      </c>
      <c r="F1422" s="153"/>
      <c r="G1422" s="153"/>
      <c r="H1422" s="153"/>
      <c r="I1422" s="153"/>
      <c r="J1422" s="176"/>
      <c r="K1422" s="153"/>
      <c r="L1422" s="148"/>
    </row>
    <row r="1423" spans="1:12" x14ac:dyDescent="0.2">
      <c r="A1423" s="129">
        <f>IF(F1423&lt;&gt;"",1+MAX($A$7:A1422),"")</f>
        <v>510</v>
      </c>
      <c r="B1423" s="140" t="s">
        <v>295</v>
      </c>
      <c r="C1423" s="140" t="s">
        <v>308</v>
      </c>
      <c r="D1423" s="141"/>
      <c r="E1423" s="163" t="s">
        <v>322</v>
      </c>
      <c r="F1423" s="149">
        <v>21</v>
      </c>
      <c r="G1423" s="144">
        <v>0</v>
      </c>
      <c r="H1423" s="143">
        <f t="shared" ref="H1423" si="125">F1423*(1+G1423)</f>
        <v>21</v>
      </c>
      <c r="I1423" s="145" t="s">
        <v>20</v>
      </c>
      <c r="J1423" s="127">
        <v>0</v>
      </c>
      <c r="K1423" s="104">
        <f t="shared" ref="K1423" si="126">J1423*H1423</f>
        <v>0</v>
      </c>
      <c r="L1423" s="148"/>
    </row>
    <row r="1424" spans="1:12" x14ac:dyDescent="0.2">
      <c r="A1424" s="129" t="str">
        <f>IF(F1424&lt;&gt;"",1+MAX($A$7:A1423),"")</f>
        <v/>
      </c>
      <c r="B1424" s="140"/>
      <c r="C1424" s="140"/>
      <c r="D1424" s="177"/>
      <c r="E1424" s="142"/>
      <c r="F1424" s="143"/>
      <c r="G1424" s="144"/>
      <c r="H1424" s="143"/>
      <c r="I1424" s="145"/>
      <c r="J1424" s="161"/>
      <c r="K1424" s="147"/>
      <c r="L1424" s="148"/>
    </row>
    <row r="1425" spans="1:12" x14ac:dyDescent="0.2">
      <c r="A1425" s="129" t="str">
        <f>IF(F1425&lt;&gt;"",1+MAX($A$7:A1424),"")</f>
        <v/>
      </c>
      <c r="B1425" s="140"/>
      <c r="C1425" s="140"/>
      <c r="D1425" s="141"/>
      <c r="E1425" s="142" t="s">
        <v>323</v>
      </c>
      <c r="F1425" s="149"/>
      <c r="G1425" s="144"/>
      <c r="H1425" s="143"/>
      <c r="I1425" s="145"/>
      <c r="J1425" s="161"/>
      <c r="K1425" s="105"/>
      <c r="L1425" s="11">
        <f>SUM(K1422:K1424)</f>
        <v>0</v>
      </c>
    </row>
    <row r="1426" spans="1:12" x14ac:dyDescent="0.2">
      <c r="A1426" s="129" t="str">
        <f>IF(F1426&lt;&gt;"",1+MAX($A$7:A1425),"")</f>
        <v/>
      </c>
      <c r="B1426" s="140"/>
      <c r="C1426" s="140"/>
      <c r="D1426" s="141"/>
      <c r="E1426" s="142"/>
      <c r="F1426" s="149"/>
      <c r="G1426" s="144"/>
      <c r="H1426" s="143"/>
      <c r="I1426" s="145"/>
      <c r="J1426" s="161"/>
      <c r="K1426" s="105"/>
      <c r="L1426" s="148"/>
    </row>
    <row r="1427" spans="1:12" x14ac:dyDescent="0.2">
      <c r="A1427" s="129" t="str">
        <f>IF(F1427&lt;&gt;"",1+MAX($A$7:A1426),"")</f>
        <v/>
      </c>
      <c r="B1427" s="140"/>
      <c r="C1427" s="140"/>
      <c r="D1427" s="174"/>
      <c r="E1427" s="175" t="s">
        <v>410</v>
      </c>
      <c r="F1427" s="153"/>
      <c r="G1427" s="153"/>
      <c r="H1427" s="153"/>
      <c r="I1427" s="153"/>
      <c r="J1427" s="176"/>
      <c r="K1427" s="153"/>
      <c r="L1427" s="148"/>
    </row>
    <row r="1428" spans="1:12" ht="31.5" x14ac:dyDescent="0.2">
      <c r="A1428" s="129">
        <f>IF(F1428&lt;&gt;"",1+MAX($A$7:A1427),"")</f>
        <v>511</v>
      </c>
      <c r="B1428" s="140" t="s">
        <v>105</v>
      </c>
      <c r="C1428" s="140" t="s">
        <v>417</v>
      </c>
      <c r="D1428" s="141"/>
      <c r="E1428" s="163" t="s">
        <v>420</v>
      </c>
      <c r="F1428" s="149">
        <v>7</v>
      </c>
      <c r="G1428" s="144">
        <v>0</v>
      </c>
      <c r="H1428" s="143">
        <f t="shared" ref="H1428" si="127">F1428*(1+G1428)</f>
        <v>7</v>
      </c>
      <c r="I1428" s="145" t="s">
        <v>20</v>
      </c>
      <c r="J1428" s="127">
        <v>0</v>
      </c>
      <c r="K1428" s="104">
        <f t="shared" ref="K1428" si="128">J1428*H1428</f>
        <v>0</v>
      </c>
      <c r="L1428" s="148"/>
    </row>
    <row r="1429" spans="1:12" ht="31.5" x14ac:dyDescent="0.2">
      <c r="A1429" s="129">
        <f>IF(F1429&lt;&gt;"",1+MAX($A$7:A1428),"")</f>
        <v>512</v>
      </c>
      <c r="B1429" s="140" t="s">
        <v>105</v>
      </c>
      <c r="C1429" s="140" t="s">
        <v>419</v>
      </c>
      <c r="D1429" s="141"/>
      <c r="E1429" s="163" t="s">
        <v>418</v>
      </c>
      <c r="F1429" s="149">
        <v>11</v>
      </c>
      <c r="G1429" s="144">
        <v>0</v>
      </c>
      <c r="H1429" s="143">
        <f t="shared" ref="H1429" si="129">F1429*(1+G1429)</f>
        <v>11</v>
      </c>
      <c r="I1429" s="145" t="s">
        <v>20</v>
      </c>
      <c r="J1429" s="127">
        <v>0</v>
      </c>
      <c r="K1429" s="104">
        <f t="shared" ref="K1429" si="130">J1429*H1429</f>
        <v>0</v>
      </c>
      <c r="L1429" s="148"/>
    </row>
    <row r="1430" spans="1:12" ht="31.5" x14ac:dyDescent="0.2">
      <c r="A1430" s="129">
        <f>IF(F1430&lt;&gt;"",1+MAX($A$7:A1429),"")</f>
        <v>513</v>
      </c>
      <c r="B1430" s="140" t="s">
        <v>105</v>
      </c>
      <c r="C1430" s="140" t="s">
        <v>415</v>
      </c>
      <c r="D1430" s="141"/>
      <c r="E1430" s="163" t="s">
        <v>416</v>
      </c>
      <c r="F1430" s="149">
        <v>5</v>
      </c>
      <c r="G1430" s="144">
        <v>0</v>
      </c>
      <c r="H1430" s="143">
        <f t="shared" ref="H1430:H1434" si="131">F1430*(1+G1430)</f>
        <v>5</v>
      </c>
      <c r="I1430" s="145" t="s">
        <v>20</v>
      </c>
      <c r="J1430" s="127">
        <v>0</v>
      </c>
      <c r="K1430" s="104">
        <f t="shared" ref="K1430:K1434" si="132">J1430*H1430</f>
        <v>0</v>
      </c>
      <c r="L1430" s="148"/>
    </row>
    <row r="1431" spans="1:12" ht="47.25" x14ac:dyDescent="0.2">
      <c r="A1431" s="129">
        <f>IF(F1431&lt;&gt;"",1+MAX($A$7:A1430),"")</f>
        <v>514</v>
      </c>
      <c r="B1431" s="140" t="s">
        <v>105</v>
      </c>
      <c r="C1431" s="140" t="s">
        <v>413</v>
      </c>
      <c r="D1431" s="141"/>
      <c r="E1431" s="163" t="s">
        <v>412</v>
      </c>
      <c r="F1431" s="149">
        <v>3</v>
      </c>
      <c r="G1431" s="144">
        <v>0</v>
      </c>
      <c r="H1431" s="143">
        <f t="shared" si="131"/>
        <v>3</v>
      </c>
      <c r="I1431" s="145" t="s">
        <v>20</v>
      </c>
      <c r="J1431" s="127">
        <v>0</v>
      </c>
      <c r="K1431" s="104">
        <f t="shared" si="132"/>
        <v>0</v>
      </c>
      <c r="L1431" s="148"/>
    </row>
    <row r="1432" spans="1:12" ht="47.25" x14ac:dyDescent="0.2">
      <c r="A1432" s="129">
        <f>IF(F1432&lt;&gt;"",1+MAX($A$7:A1431),"")</f>
        <v>515</v>
      </c>
      <c r="B1432" s="140" t="s">
        <v>105</v>
      </c>
      <c r="C1432" s="140" t="s">
        <v>413</v>
      </c>
      <c r="D1432" s="141"/>
      <c r="E1432" s="163" t="s">
        <v>414</v>
      </c>
      <c r="F1432" s="149">
        <v>3</v>
      </c>
      <c r="G1432" s="144">
        <v>0</v>
      </c>
      <c r="H1432" s="143">
        <f t="shared" si="131"/>
        <v>3</v>
      </c>
      <c r="I1432" s="145" t="s">
        <v>20</v>
      </c>
      <c r="J1432" s="127">
        <v>0</v>
      </c>
      <c r="K1432" s="104">
        <f t="shared" si="132"/>
        <v>0</v>
      </c>
      <c r="L1432" s="148"/>
    </row>
    <row r="1433" spans="1:12" ht="47.25" x14ac:dyDescent="0.2">
      <c r="A1433" s="129">
        <f>IF(F1433&lt;&gt;"",1+MAX($A$7:A1432),"")</f>
        <v>516</v>
      </c>
      <c r="B1433" s="140" t="s">
        <v>105</v>
      </c>
      <c r="C1433" s="140" t="s">
        <v>422</v>
      </c>
      <c r="D1433" s="141"/>
      <c r="E1433" s="163" t="s">
        <v>421</v>
      </c>
      <c r="F1433" s="149">
        <v>1</v>
      </c>
      <c r="G1433" s="144">
        <v>0</v>
      </c>
      <c r="H1433" s="143">
        <f t="shared" ref="H1433" si="133">F1433*(1+G1433)</f>
        <v>1</v>
      </c>
      <c r="I1433" s="145" t="s">
        <v>20</v>
      </c>
      <c r="J1433" s="127">
        <v>0</v>
      </c>
      <c r="K1433" s="104">
        <f t="shared" ref="K1433" si="134">J1433*H1433</f>
        <v>0</v>
      </c>
      <c r="L1433" s="148"/>
    </row>
    <row r="1434" spans="1:12" ht="47.25" x14ac:dyDescent="0.2">
      <c r="A1434" s="129">
        <f>IF(F1434&lt;&gt;"",1+MAX($A$7:A1433),"")</f>
        <v>517</v>
      </c>
      <c r="B1434" s="140" t="s">
        <v>105</v>
      </c>
      <c r="C1434" s="140" t="s">
        <v>426</v>
      </c>
      <c r="D1434" s="141"/>
      <c r="E1434" s="163" t="s">
        <v>425</v>
      </c>
      <c r="F1434" s="149">
        <f>63</f>
        <v>63</v>
      </c>
      <c r="G1434" s="144">
        <v>0</v>
      </c>
      <c r="H1434" s="143">
        <f t="shared" si="131"/>
        <v>63</v>
      </c>
      <c r="I1434" s="145" t="s">
        <v>20</v>
      </c>
      <c r="J1434" s="127">
        <v>0</v>
      </c>
      <c r="K1434" s="104">
        <f t="shared" si="132"/>
        <v>0</v>
      </c>
      <c r="L1434" s="148"/>
    </row>
    <row r="1435" spans="1:12" ht="47.25" x14ac:dyDescent="0.2">
      <c r="A1435" s="129">
        <f>IF(F1435&lt;&gt;"",1+MAX($A$7:A1434),"")</f>
        <v>518</v>
      </c>
      <c r="B1435" s="140" t="s">
        <v>105</v>
      </c>
      <c r="C1435" s="140" t="s">
        <v>423</v>
      </c>
      <c r="D1435" s="141"/>
      <c r="E1435" s="163" t="s">
        <v>424</v>
      </c>
      <c r="F1435" s="149">
        <v>8</v>
      </c>
      <c r="G1435" s="144">
        <v>0</v>
      </c>
      <c r="H1435" s="143">
        <f t="shared" ref="H1435" si="135">F1435*(1+G1435)</f>
        <v>8</v>
      </c>
      <c r="I1435" s="145" t="s">
        <v>20</v>
      </c>
      <c r="J1435" s="127">
        <v>0</v>
      </c>
      <c r="K1435" s="104">
        <f t="shared" ref="K1435" si="136">J1435*H1435</f>
        <v>0</v>
      </c>
      <c r="L1435" s="148"/>
    </row>
    <row r="1436" spans="1:12" x14ac:dyDescent="0.2">
      <c r="A1436" s="129" t="str">
        <f>IF(F1436&lt;&gt;"",1+MAX($A$7:A1435),"")</f>
        <v/>
      </c>
      <c r="B1436" s="140"/>
      <c r="C1436" s="140"/>
      <c r="D1436" s="177"/>
      <c r="E1436" s="142"/>
      <c r="F1436" s="143"/>
      <c r="G1436" s="144"/>
      <c r="H1436" s="143"/>
      <c r="I1436" s="145"/>
      <c r="J1436" s="161"/>
      <c r="K1436" s="147"/>
      <c r="L1436" s="148"/>
    </row>
    <row r="1437" spans="1:12" x14ac:dyDescent="0.2">
      <c r="A1437" s="129" t="str">
        <f>IF(F1437&lt;&gt;"",1+MAX($A$7:A1436),"")</f>
        <v/>
      </c>
      <c r="B1437" s="140"/>
      <c r="C1437" s="140"/>
      <c r="D1437" s="141"/>
      <c r="E1437" s="142" t="s">
        <v>411</v>
      </c>
      <c r="F1437" s="149"/>
      <c r="G1437" s="144"/>
      <c r="H1437" s="143"/>
      <c r="I1437" s="145"/>
      <c r="J1437" s="161"/>
      <c r="K1437" s="105"/>
      <c r="L1437" s="11">
        <f>SUM(K1427:K1436)</f>
        <v>0</v>
      </c>
    </row>
    <row r="1438" spans="1:12" x14ac:dyDescent="0.2">
      <c r="A1438" s="129" t="str">
        <f>IF(F1438&lt;&gt;"",1+MAX($A$7:A1437),"")</f>
        <v/>
      </c>
      <c r="B1438" s="140"/>
      <c r="C1438" s="140"/>
      <c r="D1438" s="141"/>
      <c r="E1438" s="142"/>
      <c r="F1438" s="149"/>
      <c r="G1438" s="144"/>
      <c r="H1438" s="143"/>
      <c r="I1438" s="145"/>
      <c r="J1438" s="161"/>
      <c r="K1438" s="105"/>
      <c r="L1438" s="148"/>
    </row>
    <row r="1439" spans="1:12" x14ac:dyDescent="0.2">
      <c r="A1439" s="129" t="str">
        <f>IF(F1439&lt;&gt;"",1+MAX($A$7:A1438),"")</f>
        <v/>
      </c>
      <c r="B1439" s="140"/>
      <c r="C1439" s="140"/>
      <c r="D1439" s="174"/>
      <c r="E1439" s="175" t="s">
        <v>378</v>
      </c>
      <c r="F1439" s="153"/>
      <c r="G1439" s="153"/>
      <c r="H1439" s="153"/>
      <c r="I1439" s="153"/>
      <c r="J1439" s="176"/>
      <c r="K1439" s="153"/>
      <c r="L1439" s="148"/>
    </row>
    <row r="1440" spans="1:12" ht="47.25" x14ac:dyDescent="0.2">
      <c r="A1440" s="129">
        <f>IF(F1440&lt;&gt;"",1+MAX($A$7:A1439),"")</f>
        <v>519</v>
      </c>
      <c r="B1440" s="140" t="s">
        <v>166</v>
      </c>
      <c r="C1440" s="140" t="s">
        <v>380</v>
      </c>
      <c r="D1440" s="141"/>
      <c r="E1440" s="163" t="s">
        <v>379</v>
      </c>
      <c r="F1440" s="149">
        <v>1</v>
      </c>
      <c r="G1440" s="144">
        <v>0</v>
      </c>
      <c r="H1440" s="143">
        <f t="shared" ref="H1440" si="137">F1440*(1+G1440)</f>
        <v>1</v>
      </c>
      <c r="I1440" s="145" t="s">
        <v>20</v>
      </c>
      <c r="J1440" s="127">
        <v>0</v>
      </c>
      <c r="K1440" s="104">
        <f t="shared" ref="K1440" si="138">J1440*H1440</f>
        <v>0</v>
      </c>
      <c r="L1440" s="148"/>
    </row>
    <row r="1441" spans="1:12" x14ac:dyDescent="0.2">
      <c r="A1441" s="129" t="str">
        <f>IF(F1441&lt;&gt;"",1+MAX($A$7:A1440),"")</f>
        <v/>
      </c>
      <c r="B1441" s="140"/>
      <c r="C1441" s="140"/>
      <c r="D1441" s="177"/>
      <c r="E1441" s="142"/>
      <c r="F1441" s="143"/>
      <c r="G1441" s="144"/>
      <c r="H1441" s="143"/>
      <c r="I1441" s="145"/>
      <c r="J1441" s="161"/>
      <c r="K1441" s="147"/>
      <c r="L1441" s="148"/>
    </row>
    <row r="1442" spans="1:12" x14ac:dyDescent="0.2">
      <c r="A1442" s="129" t="str">
        <f>IF(F1442&lt;&gt;"",1+MAX($A$7:A1441),"")</f>
        <v/>
      </c>
      <c r="B1442" s="140"/>
      <c r="C1442" s="140"/>
      <c r="D1442" s="141"/>
      <c r="E1442" s="142" t="s">
        <v>381</v>
      </c>
      <c r="F1442" s="149"/>
      <c r="G1442" s="144"/>
      <c r="H1442" s="143"/>
      <c r="I1442" s="145"/>
      <c r="J1442" s="161"/>
      <c r="K1442" s="105"/>
      <c r="L1442" s="11">
        <f>SUM(K1439:K1441)</f>
        <v>0</v>
      </c>
    </row>
    <row r="1443" spans="1:12" x14ac:dyDescent="0.2">
      <c r="A1443" s="129" t="str">
        <f>IF(F1443&lt;&gt;"",1+MAX($A$7:A1442),"")</f>
        <v/>
      </c>
      <c r="B1443" s="140"/>
      <c r="C1443" s="140"/>
      <c r="D1443" s="141"/>
      <c r="E1443" s="142"/>
      <c r="F1443" s="149"/>
      <c r="G1443" s="144"/>
      <c r="H1443" s="143"/>
      <c r="I1443" s="145"/>
      <c r="J1443" s="161"/>
      <c r="K1443" s="105"/>
      <c r="L1443" s="148"/>
    </row>
    <row r="1444" spans="1:12" x14ac:dyDescent="0.2">
      <c r="A1444" s="129" t="str">
        <f>IF(F1444&lt;&gt;"",1+MAX($A$7:A1443),"")</f>
        <v/>
      </c>
      <c r="B1444" s="140"/>
      <c r="C1444" s="140"/>
      <c r="D1444" s="174"/>
      <c r="E1444" s="175" t="s">
        <v>356</v>
      </c>
      <c r="F1444" s="153"/>
      <c r="G1444" s="153"/>
      <c r="H1444" s="153"/>
      <c r="I1444" s="153"/>
      <c r="J1444" s="176"/>
      <c r="K1444" s="153"/>
      <c r="L1444" s="148"/>
    </row>
    <row r="1445" spans="1:12" ht="31.5" x14ac:dyDescent="0.2">
      <c r="A1445" s="129">
        <f>IF(F1445&lt;&gt;"",1+MAX($A$7:A1444),"")</f>
        <v>520</v>
      </c>
      <c r="B1445" s="140" t="s">
        <v>357</v>
      </c>
      <c r="C1445" s="140" t="s">
        <v>360</v>
      </c>
      <c r="D1445" s="141"/>
      <c r="E1445" s="163" t="s">
        <v>359</v>
      </c>
      <c r="F1445" s="149">
        <v>8</v>
      </c>
      <c r="G1445" s="144">
        <v>0</v>
      </c>
      <c r="H1445" s="143">
        <f t="shared" ref="H1445" si="139">F1445*(1+G1445)</f>
        <v>8</v>
      </c>
      <c r="I1445" s="145" t="s">
        <v>20</v>
      </c>
      <c r="J1445" s="104">
        <v>0</v>
      </c>
      <c r="K1445" s="104">
        <f t="shared" ref="K1445" si="140">J1445*H1445</f>
        <v>0</v>
      </c>
      <c r="L1445" s="148"/>
    </row>
    <row r="1446" spans="1:12" x14ac:dyDescent="0.2">
      <c r="A1446" s="129" t="str">
        <f>IF(F1446&lt;&gt;"",1+MAX($A$7:A1445),"")</f>
        <v/>
      </c>
      <c r="B1446" s="140"/>
      <c r="C1446" s="140"/>
      <c r="D1446" s="177"/>
      <c r="E1446" s="142"/>
      <c r="F1446" s="143"/>
      <c r="G1446" s="144"/>
      <c r="H1446" s="143"/>
      <c r="I1446" s="145"/>
      <c r="J1446" s="161"/>
      <c r="K1446" s="147"/>
      <c r="L1446" s="148"/>
    </row>
    <row r="1447" spans="1:12" x14ac:dyDescent="0.2">
      <c r="A1447" s="129" t="str">
        <f>IF(F1447&lt;&gt;"",1+MAX($A$7:A1446),"")</f>
        <v/>
      </c>
      <c r="B1447" s="140"/>
      <c r="C1447" s="140"/>
      <c r="D1447" s="141"/>
      <c r="E1447" s="142" t="s">
        <v>358</v>
      </c>
      <c r="F1447" s="149"/>
      <c r="G1447" s="144"/>
      <c r="H1447" s="143"/>
      <c r="I1447" s="145"/>
      <c r="J1447" s="161"/>
      <c r="K1447" s="105"/>
      <c r="L1447" s="11">
        <f>SUM(K1444:K1446)</f>
        <v>0</v>
      </c>
    </row>
    <row r="1448" spans="1:12" x14ac:dyDescent="0.2">
      <c r="A1448" s="129" t="str">
        <f>IF(F1448&lt;&gt;"",1+MAX($A$7:A1447),"")</f>
        <v/>
      </c>
      <c r="B1448" s="140"/>
      <c r="C1448" s="140"/>
      <c r="D1448" s="141"/>
      <c r="E1448" s="142"/>
      <c r="F1448" s="149"/>
      <c r="G1448" s="144"/>
      <c r="H1448" s="143"/>
      <c r="I1448" s="145"/>
      <c r="J1448" s="161"/>
      <c r="K1448" s="105"/>
      <c r="L1448" s="148"/>
    </row>
    <row r="1449" spans="1:12" x14ac:dyDescent="0.2">
      <c r="A1449" s="129" t="str">
        <f>IF(F1449&lt;&gt;"",1+MAX($A$7:A1448),"")</f>
        <v/>
      </c>
      <c r="B1449" s="140"/>
      <c r="C1449" s="140"/>
      <c r="D1449" s="174"/>
      <c r="E1449" s="175" t="s">
        <v>1212</v>
      </c>
      <c r="F1449" s="153"/>
      <c r="G1449" s="153"/>
      <c r="H1449" s="153"/>
      <c r="I1449" s="153"/>
      <c r="J1449" s="176"/>
      <c r="K1449" s="153"/>
      <c r="L1449" s="148"/>
    </row>
    <row r="1450" spans="1:12" x14ac:dyDescent="0.2">
      <c r="A1450" s="129">
        <f>IF(F1450&lt;&gt;"",1+MAX($A$7:A1449),"")</f>
        <v>521</v>
      </c>
      <c r="B1450" s="140" t="s">
        <v>427</v>
      </c>
      <c r="C1450" s="140" t="s">
        <v>429</v>
      </c>
      <c r="D1450" s="141"/>
      <c r="E1450" s="163" t="s">
        <v>428</v>
      </c>
      <c r="F1450" s="149">
        <v>64.2</v>
      </c>
      <c r="G1450" s="144">
        <v>0.1</v>
      </c>
      <c r="H1450" s="143">
        <f t="shared" ref="H1450" si="141">F1450*(1+G1450)</f>
        <v>70.62</v>
      </c>
      <c r="I1450" s="145" t="s">
        <v>18</v>
      </c>
      <c r="J1450" s="127">
        <v>0</v>
      </c>
      <c r="K1450" s="104">
        <f t="shared" ref="K1450" si="142">J1450*H1450</f>
        <v>0</v>
      </c>
      <c r="L1450" s="148"/>
    </row>
    <row r="1451" spans="1:12" ht="31.5" x14ac:dyDescent="0.2">
      <c r="A1451" s="129">
        <f>IF(F1451&lt;&gt;"",1+MAX($A$7:A1450),"")</f>
        <v>522</v>
      </c>
      <c r="B1451" s="140" t="s">
        <v>427</v>
      </c>
      <c r="C1451" s="140" t="s">
        <v>430</v>
      </c>
      <c r="D1451" s="141"/>
      <c r="E1451" s="163" t="s">
        <v>431</v>
      </c>
      <c r="F1451" s="149">
        <v>55</v>
      </c>
      <c r="G1451" s="144">
        <v>0</v>
      </c>
      <c r="H1451" s="143">
        <f t="shared" ref="H1451" si="143">F1451*(1+G1451)</f>
        <v>55</v>
      </c>
      <c r="I1451" s="145" t="s">
        <v>20</v>
      </c>
      <c r="J1451" s="127">
        <v>0</v>
      </c>
      <c r="K1451" s="104">
        <f t="shared" ref="K1451" si="144">J1451*H1451</f>
        <v>0</v>
      </c>
      <c r="L1451" s="148"/>
    </row>
    <row r="1452" spans="1:12" x14ac:dyDescent="0.2">
      <c r="A1452" s="129">
        <f>IF(F1452&lt;&gt;"",1+MAX($A$7:A1451),"")</f>
        <v>523</v>
      </c>
      <c r="B1452" s="140" t="s">
        <v>427</v>
      </c>
      <c r="C1452" s="140"/>
      <c r="D1452" s="141"/>
      <c r="E1452" s="163" t="s">
        <v>432</v>
      </c>
      <c r="F1452" s="149">
        <v>2446.1999999999998</v>
      </c>
      <c r="G1452" s="144">
        <v>0.1</v>
      </c>
      <c r="H1452" s="143">
        <f t="shared" ref="H1452" si="145">F1452*(1+G1452)</f>
        <v>2690.82</v>
      </c>
      <c r="I1452" s="145" t="s">
        <v>15</v>
      </c>
      <c r="J1452" s="127">
        <v>0</v>
      </c>
      <c r="K1452" s="104">
        <f t="shared" ref="K1452" si="146">J1452*H1452</f>
        <v>0</v>
      </c>
      <c r="L1452" s="148"/>
    </row>
    <row r="1453" spans="1:12" x14ac:dyDescent="0.2">
      <c r="A1453" s="129">
        <f>IF(F1453&lt;&gt;"",1+MAX($A$7:A1452),"")</f>
        <v>524</v>
      </c>
      <c r="B1453" s="140" t="s">
        <v>427</v>
      </c>
      <c r="C1453" s="140"/>
      <c r="D1453" s="141"/>
      <c r="E1453" s="163" t="s">
        <v>433</v>
      </c>
      <c r="F1453" s="149">
        <v>391.9</v>
      </c>
      <c r="G1453" s="144">
        <v>0.1</v>
      </c>
      <c r="H1453" s="143">
        <f t="shared" ref="H1453:H1460" si="147">F1453*(1+G1453)</f>
        <v>431.09000000000003</v>
      </c>
      <c r="I1453" s="145" t="s">
        <v>18</v>
      </c>
      <c r="J1453" s="127">
        <v>0</v>
      </c>
      <c r="K1453" s="104">
        <f t="shared" ref="K1453:K1460" si="148">J1453*H1453</f>
        <v>0</v>
      </c>
      <c r="L1453" s="148"/>
    </row>
    <row r="1454" spans="1:12" x14ac:dyDescent="0.2">
      <c r="A1454" s="129">
        <f>IF(F1454&lt;&gt;"",1+MAX($A$7:A1453),"")</f>
        <v>525</v>
      </c>
      <c r="B1454" s="140" t="s">
        <v>427</v>
      </c>
      <c r="C1454" s="140"/>
      <c r="D1454" s="141"/>
      <c r="E1454" s="163" t="s">
        <v>434</v>
      </c>
      <c r="F1454" s="149">
        <v>3</v>
      </c>
      <c r="G1454" s="144">
        <v>0</v>
      </c>
      <c r="H1454" s="143">
        <f t="shared" si="147"/>
        <v>3</v>
      </c>
      <c r="I1454" s="145" t="s">
        <v>20</v>
      </c>
      <c r="J1454" s="127">
        <v>0</v>
      </c>
      <c r="K1454" s="104">
        <f t="shared" si="148"/>
        <v>0</v>
      </c>
      <c r="L1454" s="148"/>
    </row>
    <row r="1455" spans="1:12" x14ac:dyDescent="0.2">
      <c r="A1455" s="129">
        <f>IF(F1455&lt;&gt;"",1+MAX($A$7:A1454),"")</f>
        <v>526</v>
      </c>
      <c r="B1455" s="140" t="s">
        <v>427</v>
      </c>
      <c r="C1455" s="140"/>
      <c r="D1455" s="141"/>
      <c r="E1455" s="163" t="s">
        <v>435</v>
      </c>
      <c r="F1455" s="149">
        <v>21</v>
      </c>
      <c r="G1455" s="144">
        <v>0</v>
      </c>
      <c r="H1455" s="143">
        <f t="shared" ref="H1455" si="149">F1455*(1+G1455)</f>
        <v>21</v>
      </c>
      <c r="I1455" s="145" t="s">
        <v>20</v>
      </c>
      <c r="J1455" s="127">
        <v>0</v>
      </c>
      <c r="K1455" s="104">
        <f t="shared" ref="K1455" si="150">J1455*H1455</f>
        <v>0</v>
      </c>
      <c r="L1455" s="148"/>
    </row>
    <row r="1456" spans="1:12" x14ac:dyDescent="0.2">
      <c r="A1456" s="129">
        <f>IF(F1456&lt;&gt;"",1+MAX($A$7:A1455),"")</f>
        <v>527</v>
      </c>
      <c r="B1456" s="140" t="s">
        <v>427</v>
      </c>
      <c r="C1456" s="140"/>
      <c r="D1456" s="141"/>
      <c r="E1456" s="163" t="s">
        <v>1203</v>
      </c>
      <c r="F1456" s="149">
        <v>1</v>
      </c>
      <c r="G1456" s="144">
        <v>0</v>
      </c>
      <c r="H1456" s="143">
        <f t="shared" si="147"/>
        <v>1</v>
      </c>
      <c r="I1456" s="145" t="s">
        <v>20</v>
      </c>
      <c r="J1456" s="127">
        <v>0</v>
      </c>
      <c r="K1456" s="104">
        <f t="shared" si="148"/>
        <v>0</v>
      </c>
      <c r="L1456" s="148"/>
    </row>
    <row r="1457" spans="1:12" x14ac:dyDescent="0.2">
      <c r="A1457" s="129">
        <f>IF(F1457&lt;&gt;"",1+MAX($A$7:A1456),"")</f>
        <v>528</v>
      </c>
      <c r="B1457" s="140" t="s">
        <v>427</v>
      </c>
      <c r="C1457" s="140"/>
      <c r="D1457" s="141"/>
      <c r="E1457" s="163" t="s">
        <v>1204</v>
      </c>
      <c r="F1457" s="149">
        <v>6</v>
      </c>
      <c r="G1457" s="144">
        <v>0</v>
      </c>
      <c r="H1457" s="143">
        <f t="shared" ref="H1457:H1458" si="151">F1457*(1+G1457)</f>
        <v>6</v>
      </c>
      <c r="I1457" s="145" t="s">
        <v>20</v>
      </c>
      <c r="J1457" s="127">
        <v>0</v>
      </c>
      <c r="K1457" s="104">
        <f t="shared" ref="K1457:K1458" si="152">J1457*H1457</f>
        <v>0</v>
      </c>
      <c r="L1457" s="148"/>
    </row>
    <row r="1458" spans="1:12" x14ac:dyDescent="0.2">
      <c r="A1458" s="129">
        <f>IF(F1458&lt;&gt;"",1+MAX($A$7:A1457),"")</f>
        <v>529</v>
      </c>
      <c r="B1458" s="140" t="s">
        <v>427</v>
      </c>
      <c r="C1458" s="140"/>
      <c r="D1458" s="141"/>
      <c r="E1458" s="163" t="s">
        <v>1205</v>
      </c>
      <c r="F1458" s="149">
        <v>11</v>
      </c>
      <c r="G1458" s="144">
        <v>0</v>
      </c>
      <c r="H1458" s="143">
        <f t="shared" si="151"/>
        <v>11</v>
      </c>
      <c r="I1458" s="145" t="s">
        <v>20</v>
      </c>
      <c r="J1458" s="127">
        <v>0</v>
      </c>
      <c r="K1458" s="104">
        <f t="shared" si="152"/>
        <v>0</v>
      </c>
      <c r="L1458" s="148"/>
    </row>
    <row r="1459" spans="1:12" x14ac:dyDescent="0.2">
      <c r="A1459" s="129">
        <f>IF(F1459&lt;&gt;"",1+MAX($A$7:A1458),"")</f>
        <v>530</v>
      </c>
      <c r="B1459" s="140" t="s">
        <v>427</v>
      </c>
      <c r="C1459" s="140" t="s">
        <v>441</v>
      </c>
      <c r="D1459" s="141"/>
      <c r="E1459" s="163" t="s">
        <v>443</v>
      </c>
      <c r="F1459" s="149">
        <v>8</v>
      </c>
      <c r="G1459" s="144">
        <v>0</v>
      </c>
      <c r="H1459" s="143">
        <f t="shared" si="147"/>
        <v>8</v>
      </c>
      <c r="I1459" s="145" t="s">
        <v>20</v>
      </c>
      <c r="J1459" s="127">
        <v>0</v>
      </c>
      <c r="K1459" s="104">
        <f t="shared" si="148"/>
        <v>0</v>
      </c>
      <c r="L1459" s="148"/>
    </row>
    <row r="1460" spans="1:12" x14ac:dyDescent="0.2">
      <c r="A1460" s="129">
        <f>IF(F1460&lt;&gt;"",1+MAX($A$7:A1459),"")</f>
        <v>531</v>
      </c>
      <c r="B1460" s="140" t="s">
        <v>427</v>
      </c>
      <c r="C1460" s="140" t="s">
        <v>442</v>
      </c>
      <c r="D1460" s="141"/>
      <c r="E1460" s="163" t="s">
        <v>444</v>
      </c>
      <c r="F1460" s="149">
        <v>19</v>
      </c>
      <c r="G1460" s="144">
        <v>0.1</v>
      </c>
      <c r="H1460" s="143">
        <f t="shared" si="147"/>
        <v>20.900000000000002</v>
      </c>
      <c r="I1460" s="145" t="s">
        <v>15</v>
      </c>
      <c r="J1460" s="127">
        <v>0</v>
      </c>
      <c r="K1460" s="104">
        <f t="shared" si="148"/>
        <v>0</v>
      </c>
      <c r="L1460" s="148"/>
    </row>
    <row r="1461" spans="1:12" x14ac:dyDescent="0.2">
      <c r="A1461" s="129" t="str">
        <f>IF(F1461&lt;&gt;"",1+MAX($A$7:A1460),"")</f>
        <v/>
      </c>
      <c r="B1461" s="140"/>
      <c r="C1461" s="140"/>
      <c r="D1461" s="177"/>
      <c r="E1461" s="142"/>
      <c r="F1461" s="143"/>
      <c r="G1461" s="144"/>
      <c r="H1461" s="143"/>
      <c r="I1461" s="145"/>
      <c r="J1461" s="161"/>
      <c r="K1461" s="147"/>
      <c r="L1461" s="148"/>
    </row>
    <row r="1462" spans="1:12" x14ac:dyDescent="0.2">
      <c r="A1462" s="129" t="str">
        <f>IF(F1462&lt;&gt;"",1+MAX($A$7:A1461),"")</f>
        <v/>
      </c>
      <c r="B1462" s="140"/>
      <c r="C1462" s="140"/>
      <c r="D1462" s="141"/>
      <c r="E1462" s="142" t="s">
        <v>1213</v>
      </c>
      <c r="F1462" s="149"/>
      <c r="G1462" s="144"/>
      <c r="H1462" s="143"/>
      <c r="I1462" s="145"/>
      <c r="J1462" s="161"/>
      <c r="K1462" s="105"/>
      <c r="L1462" s="11">
        <f>SUM(K1449:K1461)</f>
        <v>0</v>
      </c>
    </row>
    <row r="1463" spans="1:12" x14ac:dyDescent="0.2">
      <c r="A1463" s="129" t="str">
        <f>IF(F1463&lt;&gt;"",1+MAX($A$7:A1462),"")</f>
        <v/>
      </c>
      <c r="B1463" s="140"/>
      <c r="C1463" s="140"/>
      <c r="D1463" s="141"/>
      <c r="E1463" s="142"/>
      <c r="F1463" s="149"/>
      <c r="G1463" s="144"/>
      <c r="H1463" s="143"/>
      <c r="I1463" s="145"/>
      <c r="J1463" s="161"/>
      <c r="K1463" s="105"/>
      <c r="L1463" s="148"/>
    </row>
    <row r="1464" spans="1:12" x14ac:dyDescent="0.2">
      <c r="A1464" s="129" t="str">
        <f>IF(F1464&lt;&gt;"",1+MAX($A$7:A1463),"")</f>
        <v/>
      </c>
      <c r="B1464" s="140"/>
      <c r="C1464" s="145"/>
      <c r="D1464" s="173" t="s">
        <v>69</v>
      </c>
      <c r="E1464" s="156" t="s">
        <v>325</v>
      </c>
      <c r="F1464" s="149"/>
      <c r="G1464" s="144"/>
      <c r="H1464" s="143"/>
      <c r="I1464" s="145"/>
      <c r="J1464" s="161"/>
      <c r="K1464" s="104"/>
      <c r="L1464" s="148"/>
    </row>
    <row r="1465" spans="1:12" x14ac:dyDescent="0.2">
      <c r="A1465" s="129" t="str">
        <f>IF(F1465&lt;&gt;"",1+MAX($A$7:A1464),"")</f>
        <v/>
      </c>
      <c r="B1465" s="140"/>
      <c r="C1465" s="140"/>
      <c r="D1465" s="174"/>
      <c r="E1465" s="175" t="s">
        <v>70</v>
      </c>
      <c r="F1465" s="153"/>
      <c r="G1465" s="153"/>
      <c r="H1465" s="153"/>
      <c r="I1465" s="153"/>
      <c r="J1465" s="176"/>
      <c r="K1465" s="153"/>
      <c r="L1465" s="148"/>
    </row>
    <row r="1466" spans="1:12" ht="78.75" x14ac:dyDescent="0.2">
      <c r="A1466" s="129">
        <f>IF(F1466&lt;&gt;"",1+MAX($A$7:A1465),"")</f>
        <v>532</v>
      </c>
      <c r="B1466" s="140" t="s">
        <v>326</v>
      </c>
      <c r="C1466" s="140" t="s">
        <v>308</v>
      </c>
      <c r="D1466" s="178" t="s">
        <v>732</v>
      </c>
      <c r="E1466" s="163" t="s">
        <v>729</v>
      </c>
      <c r="F1466" s="149">
        <v>64</v>
      </c>
      <c r="G1466" s="144">
        <v>0</v>
      </c>
      <c r="H1466" s="143">
        <f t="shared" ref="H1466:H1472" si="153">F1466*(1+G1466)</f>
        <v>64</v>
      </c>
      <c r="I1466" s="145" t="s">
        <v>20</v>
      </c>
      <c r="J1466" s="127">
        <v>0</v>
      </c>
      <c r="K1466" s="104">
        <f t="shared" ref="K1466:K1472" si="154">J1466*H1466</f>
        <v>0</v>
      </c>
      <c r="L1466" s="148"/>
    </row>
    <row r="1467" spans="1:12" ht="78.75" x14ac:dyDescent="0.2">
      <c r="A1467" s="129">
        <f>IF(F1467&lt;&gt;"",1+MAX($A$7:A1466),"")</f>
        <v>533</v>
      </c>
      <c r="B1467" s="140" t="s">
        <v>326</v>
      </c>
      <c r="C1467" s="140" t="s">
        <v>308</v>
      </c>
      <c r="D1467" s="179" t="s">
        <v>732</v>
      </c>
      <c r="E1467" s="163" t="s">
        <v>727</v>
      </c>
      <c r="F1467" s="149">
        <v>64</v>
      </c>
      <c r="G1467" s="144">
        <v>0</v>
      </c>
      <c r="H1467" s="143">
        <f t="shared" si="153"/>
        <v>64</v>
      </c>
      <c r="I1467" s="145" t="s">
        <v>20</v>
      </c>
      <c r="J1467" s="127">
        <v>0</v>
      </c>
      <c r="K1467" s="104">
        <f t="shared" si="154"/>
        <v>0</v>
      </c>
      <c r="L1467" s="148"/>
    </row>
    <row r="1468" spans="1:12" ht="78.75" x14ac:dyDescent="0.2">
      <c r="A1468" s="129">
        <f>IF(F1468&lt;&gt;"",1+MAX($A$7:A1467),"")</f>
        <v>534</v>
      </c>
      <c r="B1468" s="140" t="s">
        <v>326</v>
      </c>
      <c r="C1468" s="140" t="s">
        <v>308</v>
      </c>
      <c r="D1468" s="179" t="s">
        <v>732</v>
      </c>
      <c r="E1468" s="163" t="s">
        <v>728</v>
      </c>
      <c r="F1468" s="149">
        <v>64</v>
      </c>
      <c r="G1468" s="144">
        <v>0</v>
      </c>
      <c r="H1468" s="143">
        <f t="shared" ref="H1468" si="155">F1468*(1+G1468)</f>
        <v>64</v>
      </c>
      <c r="I1468" s="145" t="s">
        <v>20</v>
      </c>
      <c r="J1468" s="127">
        <v>0</v>
      </c>
      <c r="K1468" s="104">
        <f t="shared" ref="K1468" si="156">J1468*H1468</f>
        <v>0</v>
      </c>
      <c r="L1468" s="148"/>
    </row>
    <row r="1469" spans="1:12" ht="78.75" x14ac:dyDescent="0.2">
      <c r="A1469" s="129">
        <f>IF(F1469&lt;&gt;"",1+MAX($A$7:A1468),"")</f>
        <v>535</v>
      </c>
      <c r="B1469" s="140" t="s">
        <v>326</v>
      </c>
      <c r="C1469" s="140" t="s">
        <v>308</v>
      </c>
      <c r="D1469" s="179" t="s">
        <v>732</v>
      </c>
      <c r="E1469" s="163" t="s">
        <v>726</v>
      </c>
      <c r="F1469" s="149">
        <v>64</v>
      </c>
      <c r="G1469" s="144">
        <v>0</v>
      </c>
      <c r="H1469" s="143">
        <f t="shared" si="153"/>
        <v>64</v>
      </c>
      <c r="I1469" s="145" t="s">
        <v>20</v>
      </c>
      <c r="J1469" s="127">
        <v>0</v>
      </c>
      <c r="K1469" s="104">
        <f t="shared" si="154"/>
        <v>0</v>
      </c>
      <c r="L1469" s="148"/>
    </row>
    <row r="1470" spans="1:12" ht="47.25" x14ac:dyDescent="0.2">
      <c r="A1470" s="129">
        <f>IF(F1470&lt;&gt;"",1+MAX($A$7:A1469),"")</f>
        <v>536</v>
      </c>
      <c r="B1470" s="140" t="s">
        <v>326</v>
      </c>
      <c r="C1470" s="180" t="s">
        <v>302</v>
      </c>
      <c r="D1470" s="179" t="s">
        <v>732</v>
      </c>
      <c r="E1470" s="163" t="s">
        <v>730</v>
      </c>
      <c r="F1470" s="149">
        <v>64</v>
      </c>
      <c r="G1470" s="144">
        <v>0</v>
      </c>
      <c r="H1470" s="143">
        <f t="shared" si="153"/>
        <v>64</v>
      </c>
      <c r="I1470" s="145" t="s">
        <v>20</v>
      </c>
      <c r="J1470" s="127">
        <v>0</v>
      </c>
      <c r="K1470" s="104">
        <f t="shared" si="154"/>
        <v>0</v>
      </c>
      <c r="L1470" s="148"/>
    </row>
    <row r="1471" spans="1:12" ht="94.5" x14ac:dyDescent="0.2">
      <c r="A1471" s="129">
        <f>IF(F1471&lt;&gt;"",1+MAX($A$7:A1470),"")</f>
        <v>537</v>
      </c>
      <c r="B1471" s="140" t="s">
        <v>326</v>
      </c>
      <c r="C1471" s="140" t="s">
        <v>308</v>
      </c>
      <c r="D1471" s="179" t="s">
        <v>732</v>
      </c>
      <c r="E1471" s="163" t="s">
        <v>725</v>
      </c>
      <c r="F1471" s="149">
        <v>8</v>
      </c>
      <c r="G1471" s="144">
        <v>0</v>
      </c>
      <c r="H1471" s="143">
        <f t="shared" si="153"/>
        <v>8</v>
      </c>
      <c r="I1471" s="145" t="s">
        <v>20</v>
      </c>
      <c r="J1471" s="127">
        <v>0</v>
      </c>
      <c r="K1471" s="104">
        <f t="shared" si="154"/>
        <v>0</v>
      </c>
      <c r="L1471" s="148"/>
    </row>
    <row r="1472" spans="1:12" ht="78.75" x14ac:dyDescent="0.2">
      <c r="A1472" s="129">
        <f>IF(F1472&lt;&gt;"",1+MAX($A$7:A1471),"")</f>
        <v>538</v>
      </c>
      <c r="B1472" s="140" t="s">
        <v>326</v>
      </c>
      <c r="C1472" s="140" t="s">
        <v>308</v>
      </c>
      <c r="D1472" s="179" t="s">
        <v>732</v>
      </c>
      <c r="E1472" s="163" t="s">
        <v>724</v>
      </c>
      <c r="F1472" s="149">
        <v>4</v>
      </c>
      <c r="G1472" s="144">
        <v>0</v>
      </c>
      <c r="H1472" s="143">
        <f t="shared" si="153"/>
        <v>4</v>
      </c>
      <c r="I1472" s="145" t="s">
        <v>20</v>
      </c>
      <c r="J1472" s="127">
        <v>0</v>
      </c>
      <c r="K1472" s="104">
        <f t="shared" si="154"/>
        <v>0</v>
      </c>
      <c r="L1472" s="148"/>
    </row>
    <row r="1473" spans="1:12" x14ac:dyDescent="0.2">
      <c r="A1473" s="129">
        <f>IF(F1473&lt;&gt;"",1+MAX($A$7:A1472),"")</f>
        <v>539</v>
      </c>
      <c r="B1473" s="140" t="s">
        <v>326</v>
      </c>
      <c r="C1473" s="140"/>
      <c r="D1473" s="141"/>
      <c r="E1473" s="163" t="s">
        <v>731</v>
      </c>
      <c r="F1473" s="149">
        <v>64</v>
      </c>
      <c r="G1473" s="144">
        <v>0</v>
      </c>
      <c r="H1473" s="143">
        <f t="shared" ref="H1473" si="157">F1473*(1+G1473)</f>
        <v>64</v>
      </c>
      <c r="I1473" s="145" t="s">
        <v>20</v>
      </c>
      <c r="J1473" s="127">
        <v>0</v>
      </c>
      <c r="K1473" s="104">
        <f t="shared" ref="K1473" si="158">J1473*H1473</f>
        <v>0</v>
      </c>
      <c r="L1473" s="148"/>
    </row>
    <row r="1474" spans="1:12" x14ac:dyDescent="0.2">
      <c r="A1474" s="129" t="str">
        <f>IF(F1474&lt;&gt;"",1+MAX($A$7:A1473),"")</f>
        <v/>
      </c>
      <c r="B1474" s="140"/>
      <c r="C1474" s="140"/>
      <c r="D1474" s="141"/>
      <c r="E1474" s="142"/>
      <c r="F1474" s="143"/>
      <c r="G1474" s="144"/>
      <c r="H1474" s="143"/>
      <c r="I1474" s="145"/>
      <c r="J1474" s="161"/>
      <c r="K1474" s="147"/>
      <c r="L1474" s="148"/>
    </row>
    <row r="1475" spans="1:12" x14ac:dyDescent="0.2">
      <c r="A1475" s="129" t="str">
        <f>IF(F1475&lt;&gt;"",1+MAX($A$7:A1474),"")</f>
        <v/>
      </c>
      <c r="B1475" s="140"/>
      <c r="C1475" s="140"/>
      <c r="D1475" s="141"/>
      <c r="E1475" s="142" t="s">
        <v>324</v>
      </c>
      <c r="F1475" s="149"/>
      <c r="G1475" s="144"/>
      <c r="H1475" s="143"/>
      <c r="I1475" s="145"/>
      <c r="J1475" s="161"/>
      <c r="K1475" s="105"/>
      <c r="L1475" s="11">
        <f>SUM(K1465:K1474)</f>
        <v>0</v>
      </c>
    </row>
    <row r="1476" spans="1:12" x14ac:dyDescent="0.2">
      <c r="A1476" s="129" t="str">
        <f>IF(F1476&lt;&gt;"",1+MAX($A$7:A1475),"")</f>
        <v/>
      </c>
      <c r="B1476" s="140"/>
      <c r="C1476" s="140"/>
      <c r="D1476" s="141"/>
      <c r="E1476" s="142"/>
      <c r="F1476" s="149"/>
      <c r="G1476" s="144"/>
      <c r="H1476" s="143"/>
      <c r="I1476" s="145"/>
      <c r="J1476" s="161"/>
      <c r="K1476" s="105"/>
      <c r="L1476" s="148"/>
    </row>
    <row r="1477" spans="1:12" x14ac:dyDescent="0.2">
      <c r="A1477" s="129" t="str">
        <f>IF(F1477&lt;&gt;"",1+MAX($A$7:A1476),"")</f>
        <v/>
      </c>
      <c r="B1477" s="140"/>
      <c r="C1477" s="145"/>
      <c r="D1477" s="173" t="s">
        <v>25</v>
      </c>
      <c r="E1477" s="156" t="s">
        <v>26</v>
      </c>
      <c r="F1477" s="149"/>
      <c r="G1477" s="144"/>
      <c r="H1477" s="143"/>
      <c r="I1477" s="145"/>
      <c r="J1477" s="161"/>
      <c r="K1477" s="104"/>
      <c r="L1477" s="148"/>
    </row>
    <row r="1478" spans="1:12" x14ac:dyDescent="0.2">
      <c r="A1478" s="129" t="str">
        <f>IF(F1478&lt;&gt;"",1+MAX($A$7:A1477),"")</f>
        <v/>
      </c>
      <c r="B1478" s="140"/>
      <c r="C1478" s="140"/>
      <c r="D1478" s="141"/>
      <c r="E1478" s="158" t="s">
        <v>35</v>
      </c>
      <c r="F1478" s="149"/>
      <c r="G1478" s="144"/>
      <c r="H1478" s="143"/>
      <c r="I1478" s="145"/>
      <c r="J1478" s="161"/>
      <c r="K1478" s="104"/>
      <c r="L1478" s="148"/>
    </row>
    <row r="1479" spans="1:12" ht="31.5" x14ac:dyDescent="0.2">
      <c r="A1479" s="129">
        <f>IF(F1479&lt;&gt;"",1+MAX($A$7:A1478),"")</f>
        <v>540</v>
      </c>
      <c r="B1479" s="140" t="s">
        <v>326</v>
      </c>
      <c r="C1479" s="140" t="s">
        <v>308</v>
      </c>
      <c r="D1479" s="141"/>
      <c r="E1479" s="163" t="s">
        <v>91</v>
      </c>
      <c r="F1479" s="149">
        <v>2435.4</v>
      </c>
      <c r="G1479" s="124">
        <v>0.1</v>
      </c>
      <c r="H1479" s="143">
        <f t="shared" ref="H1479" si="159">F1479*(1+G1479)</f>
        <v>2678.9400000000005</v>
      </c>
      <c r="I1479" s="145" t="s">
        <v>18</v>
      </c>
      <c r="J1479" s="127">
        <v>0</v>
      </c>
      <c r="K1479" s="104">
        <f t="shared" ref="K1479" si="160">J1479*H1479</f>
        <v>0</v>
      </c>
      <c r="L1479" s="148"/>
    </row>
    <row r="1480" spans="1:12" x14ac:dyDescent="0.2">
      <c r="A1480" s="129" t="str">
        <f>IF(F1480&lt;&gt;"",1+MAX($A$7:A1479),"")</f>
        <v/>
      </c>
      <c r="B1480" s="140"/>
      <c r="C1480" s="140"/>
      <c r="D1480" s="141"/>
      <c r="E1480" s="163"/>
      <c r="F1480" s="149"/>
      <c r="G1480" s="144"/>
      <c r="H1480" s="143"/>
      <c r="I1480" s="145"/>
      <c r="J1480" s="23"/>
      <c r="K1480" s="104"/>
      <c r="L1480" s="148"/>
    </row>
    <row r="1481" spans="1:12" x14ac:dyDescent="0.2">
      <c r="A1481" s="129" t="str">
        <f>IF(F1481&lt;&gt;"",1+MAX($A$7:A1480),"")</f>
        <v/>
      </c>
      <c r="B1481" s="140" t="s">
        <v>326</v>
      </c>
      <c r="C1481" s="140" t="s">
        <v>308</v>
      </c>
      <c r="D1481" s="141"/>
      <c r="E1481" s="158" t="s">
        <v>92</v>
      </c>
      <c r="F1481" s="149"/>
      <c r="G1481" s="144"/>
      <c r="H1481" s="143"/>
      <c r="I1481" s="145"/>
      <c r="J1481" s="161"/>
      <c r="K1481" s="104"/>
      <c r="L1481" s="148"/>
    </row>
    <row r="1482" spans="1:12" x14ac:dyDescent="0.2">
      <c r="A1482" s="129">
        <f>IF(F1482&lt;&gt;"",1+MAX($A$7:A1481),"")</f>
        <v>541</v>
      </c>
      <c r="B1482" s="140" t="s">
        <v>326</v>
      </c>
      <c r="C1482" s="140" t="s">
        <v>308</v>
      </c>
      <c r="D1482" s="141"/>
      <c r="E1482" s="163" t="s">
        <v>327</v>
      </c>
      <c r="F1482" s="149">
        <v>40.480000000000004</v>
      </c>
      <c r="G1482" s="124">
        <v>0.1</v>
      </c>
      <c r="H1482" s="143">
        <f t="shared" ref="H1482:H1489" si="161">F1482*(1+G1482)</f>
        <v>44.528000000000006</v>
      </c>
      <c r="I1482" s="145" t="s">
        <v>15</v>
      </c>
      <c r="J1482" s="127">
        <v>0</v>
      </c>
      <c r="K1482" s="104">
        <f t="shared" ref="K1482:K1489" si="162">J1482*H1482</f>
        <v>0</v>
      </c>
      <c r="L1482" s="148"/>
    </row>
    <row r="1483" spans="1:12" x14ac:dyDescent="0.2">
      <c r="A1483" s="129">
        <f>IF(F1483&lt;&gt;"",1+MAX($A$7:A1482),"")</f>
        <v>542</v>
      </c>
      <c r="B1483" s="140" t="s">
        <v>326</v>
      </c>
      <c r="C1483" s="140" t="s">
        <v>308</v>
      </c>
      <c r="D1483" s="141"/>
      <c r="E1483" s="163" t="s">
        <v>328</v>
      </c>
      <c r="F1483" s="149">
        <v>161.43000000000004</v>
      </c>
      <c r="G1483" s="124">
        <v>0.1</v>
      </c>
      <c r="H1483" s="143">
        <f t="shared" si="161"/>
        <v>177.57300000000006</v>
      </c>
      <c r="I1483" s="145" t="s">
        <v>15</v>
      </c>
      <c r="J1483" s="127">
        <v>0</v>
      </c>
      <c r="K1483" s="104">
        <f t="shared" si="162"/>
        <v>0</v>
      </c>
      <c r="L1483" s="148"/>
    </row>
    <row r="1484" spans="1:12" x14ac:dyDescent="0.2">
      <c r="A1484" s="129">
        <f>IF(F1484&lt;&gt;"",1+MAX($A$7:A1483),"")</f>
        <v>543</v>
      </c>
      <c r="B1484" s="140" t="s">
        <v>326</v>
      </c>
      <c r="C1484" s="140" t="s">
        <v>308</v>
      </c>
      <c r="D1484" s="141"/>
      <c r="E1484" s="163" t="s">
        <v>329</v>
      </c>
      <c r="F1484" s="149">
        <v>136.36000000000001</v>
      </c>
      <c r="G1484" s="124">
        <v>0.1</v>
      </c>
      <c r="H1484" s="143">
        <f t="shared" si="161"/>
        <v>149.99600000000004</v>
      </c>
      <c r="I1484" s="145" t="s">
        <v>15</v>
      </c>
      <c r="J1484" s="127">
        <v>0</v>
      </c>
      <c r="K1484" s="104">
        <f t="shared" si="162"/>
        <v>0</v>
      </c>
      <c r="L1484" s="148"/>
    </row>
    <row r="1485" spans="1:12" x14ac:dyDescent="0.2">
      <c r="A1485" s="129">
        <f>IF(F1485&lt;&gt;"",1+MAX($A$7:A1484),"")</f>
        <v>544</v>
      </c>
      <c r="B1485" s="140" t="s">
        <v>326</v>
      </c>
      <c r="C1485" s="140" t="s">
        <v>308</v>
      </c>
      <c r="D1485" s="141"/>
      <c r="E1485" s="163" t="s">
        <v>330</v>
      </c>
      <c r="F1485" s="149">
        <v>627.87999999999988</v>
      </c>
      <c r="G1485" s="124">
        <v>0.1</v>
      </c>
      <c r="H1485" s="143">
        <f t="shared" si="161"/>
        <v>690.66799999999989</v>
      </c>
      <c r="I1485" s="145" t="s">
        <v>15</v>
      </c>
      <c r="J1485" s="127">
        <v>0</v>
      </c>
      <c r="K1485" s="104">
        <f t="shared" si="162"/>
        <v>0</v>
      </c>
      <c r="L1485" s="148"/>
    </row>
    <row r="1486" spans="1:12" x14ac:dyDescent="0.2">
      <c r="A1486" s="129">
        <f>IF(F1486&lt;&gt;"",1+MAX($A$7:A1485),"")</f>
        <v>545</v>
      </c>
      <c r="B1486" s="140" t="s">
        <v>326</v>
      </c>
      <c r="C1486" s="140" t="s">
        <v>308</v>
      </c>
      <c r="D1486" s="141"/>
      <c r="E1486" s="163" t="s">
        <v>331</v>
      </c>
      <c r="F1486" s="149">
        <v>43.239999999999995</v>
      </c>
      <c r="G1486" s="124">
        <v>0.1</v>
      </c>
      <c r="H1486" s="143">
        <f t="shared" si="161"/>
        <v>47.564</v>
      </c>
      <c r="I1486" s="145" t="s">
        <v>15</v>
      </c>
      <c r="J1486" s="127">
        <v>0</v>
      </c>
      <c r="K1486" s="104">
        <f t="shared" si="162"/>
        <v>0</v>
      </c>
      <c r="L1486" s="148"/>
    </row>
    <row r="1487" spans="1:12" x14ac:dyDescent="0.2">
      <c r="A1487" s="129">
        <f>IF(F1487&lt;&gt;"",1+MAX($A$7:A1486),"")</f>
        <v>546</v>
      </c>
      <c r="B1487" s="140" t="s">
        <v>326</v>
      </c>
      <c r="C1487" s="140" t="s">
        <v>308</v>
      </c>
      <c r="D1487" s="141"/>
      <c r="E1487" s="163" t="s">
        <v>332</v>
      </c>
      <c r="F1487" s="149">
        <v>3</v>
      </c>
      <c r="G1487" s="124">
        <v>0.1</v>
      </c>
      <c r="H1487" s="143">
        <f t="shared" si="161"/>
        <v>3.3000000000000003</v>
      </c>
      <c r="I1487" s="145" t="s">
        <v>15</v>
      </c>
      <c r="J1487" s="127">
        <v>0</v>
      </c>
      <c r="K1487" s="104">
        <f t="shared" si="162"/>
        <v>0</v>
      </c>
      <c r="L1487" s="148"/>
    </row>
    <row r="1488" spans="1:12" x14ac:dyDescent="0.2">
      <c r="A1488" s="129">
        <f>IF(F1488&lt;&gt;"",1+MAX($A$7:A1487),"")</f>
        <v>547</v>
      </c>
      <c r="B1488" s="140" t="s">
        <v>326</v>
      </c>
      <c r="C1488" s="140" t="s">
        <v>308</v>
      </c>
      <c r="D1488" s="141"/>
      <c r="E1488" s="163" t="s">
        <v>333</v>
      </c>
      <c r="F1488" s="149">
        <v>257.32</v>
      </c>
      <c r="G1488" s="124">
        <v>0.1</v>
      </c>
      <c r="H1488" s="143">
        <f t="shared" si="161"/>
        <v>283.05200000000002</v>
      </c>
      <c r="I1488" s="145" t="s">
        <v>15</v>
      </c>
      <c r="J1488" s="104">
        <f>J$1487</f>
        <v>0</v>
      </c>
      <c r="K1488" s="104">
        <f t="shared" si="162"/>
        <v>0</v>
      </c>
      <c r="L1488" s="148"/>
    </row>
    <row r="1489" spans="1:12" x14ac:dyDescent="0.2">
      <c r="A1489" s="129">
        <f>IF(F1489&lt;&gt;"",1+MAX($A$7:A1488),"")</f>
        <v>548</v>
      </c>
      <c r="B1489" s="140" t="s">
        <v>326</v>
      </c>
      <c r="C1489" s="140" t="s">
        <v>308</v>
      </c>
      <c r="D1489" s="141"/>
      <c r="E1489" s="163" t="s">
        <v>334</v>
      </c>
      <c r="F1489" s="149">
        <v>191.72</v>
      </c>
      <c r="G1489" s="124">
        <v>0.1</v>
      </c>
      <c r="H1489" s="143">
        <f t="shared" si="161"/>
        <v>210.89200000000002</v>
      </c>
      <c r="I1489" s="145" t="s">
        <v>15</v>
      </c>
      <c r="J1489" s="104">
        <f>J$1487</f>
        <v>0</v>
      </c>
      <c r="K1489" s="104">
        <f t="shared" si="162"/>
        <v>0</v>
      </c>
      <c r="L1489" s="148"/>
    </row>
    <row r="1490" spans="1:12" x14ac:dyDescent="0.2">
      <c r="A1490" s="129" t="str">
        <f>IF(F1490&lt;&gt;"",1+MAX($A$7:A1489),"")</f>
        <v/>
      </c>
      <c r="B1490" s="140"/>
      <c r="C1490" s="140"/>
      <c r="D1490" s="141"/>
      <c r="E1490" s="163"/>
      <c r="F1490" s="149"/>
      <c r="G1490" s="144"/>
      <c r="H1490" s="143"/>
      <c r="I1490" s="145"/>
      <c r="J1490" s="23"/>
      <c r="K1490" s="104"/>
      <c r="L1490" s="148"/>
    </row>
    <row r="1491" spans="1:12" x14ac:dyDescent="0.2">
      <c r="A1491" s="129" t="str">
        <f>IF(F1491&lt;&gt;"",1+MAX($A$7:A1490),"")</f>
        <v/>
      </c>
      <c r="B1491" s="140"/>
      <c r="C1491" s="140"/>
      <c r="D1491" s="141"/>
      <c r="E1491" s="158" t="s">
        <v>335</v>
      </c>
      <c r="F1491" s="149"/>
      <c r="G1491" s="144"/>
      <c r="H1491" s="143"/>
      <c r="I1491" s="145"/>
      <c r="J1491" s="161"/>
      <c r="K1491" s="104"/>
      <c r="L1491" s="148"/>
    </row>
    <row r="1492" spans="1:12" x14ac:dyDescent="0.2">
      <c r="A1492" s="129">
        <f>IF(F1492&lt;&gt;"",1+MAX($A$7:A1491),"")</f>
        <v>549</v>
      </c>
      <c r="B1492" s="140" t="s">
        <v>326</v>
      </c>
      <c r="C1492" s="140" t="s">
        <v>308</v>
      </c>
      <c r="D1492" s="141"/>
      <c r="E1492" s="163" t="s">
        <v>336</v>
      </c>
      <c r="F1492" s="149">
        <v>0.66700000000000004</v>
      </c>
      <c r="G1492" s="124">
        <v>0.1</v>
      </c>
      <c r="H1492" s="143">
        <f t="shared" ref="H1492:H1496" si="163">F1492*(1+G1492)</f>
        <v>0.73370000000000013</v>
      </c>
      <c r="I1492" s="145" t="s">
        <v>15</v>
      </c>
      <c r="J1492" s="104">
        <f t="shared" ref="J1492:J1496" si="164">J$1487</f>
        <v>0</v>
      </c>
      <c r="K1492" s="104">
        <f t="shared" ref="K1492:K1496" si="165">J1492*H1492</f>
        <v>0</v>
      </c>
      <c r="L1492" s="148"/>
    </row>
    <row r="1493" spans="1:12" x14ac:dyDescent="0.2">
      <c r="A1493" s="129">
        <f>IF(F1493&lt;&gt;"",1+MAX($A$7:A1492),"")</f>
        <v>550</v>
      </c>
      <c r="B1493" s="140" t="s">
        <v>326</v>
      </c>
      <c r="C1493" s="140" t="s">
        <v>308</v>
      </c>
      <c r="D1493" s="141"/>
      <c r="E1493" s="163" t="s">
        <v>337</v>
      </c>
      <c r="F1493" s="149">
        <v>91.22</v>
      </c>
      <c r="G1493" s="124">
        <v>0.1</v>
      </c>
      <c r="H1493" s="143">
        <f t="shared" si="163"/>
        <v>100.34200000000001</v>
      </c>
      <c r="I1493" s="145" t="s">
        <v>15</v>
      </c>
      <c r="J1493" s="104">
        <f t="shared" si="164"/>
        <v>0</v>
      </c>
      <c r="K1493" s="104">
        <f t="shared" si="165"/>
        <v>0</v>
      </c>
      <c r="L1493" s="148"/>
    </row>
    <row r="1494" spans="1:12" x14ac:dyDescent="0.2">
      <c r="A1494" s="129">
        <f>IF(F1494&lt;&gt;"",1+MAX($A$7:A1493),"")</f>
        <v>551</v>
      </c>
      <c r="B1494" s="140" t="s">
        <v>326</v>
      </c>
      <c r="C1494" s="140" t="s">
        <v>308</v>
      </c>
      <c r="D1494" s="141"/>
      <c r="E1494" s="163" t="s">
        <v>338</v>
      </c>
      <c r="F1494" s="149">
        <v>49.19</v>
      </c>
      <c r="G1494" s="124">
        <v>0.1</v>
      </c>
      <c r="H1494" s="143">
        <f t="shared" si="163"/>
        <v>54.109000000000002</v>
      </c>
      <c r="I1494" s="145" t="s">
        <v>15</v>
      </c>
      <c r="J1494" s="104">
        <f t="shared" si="164"/>
        <v>0</v>
      </c>
      <c r="K1494" s="104">
        <f t="shared" si="165"/>
        <v>0</v>
      </c>
      <c r="L1494" s="148"/>
    </row>
    <row r="1495" spans="1:12" x14ac:dyDescent="0.2">
      <c r="A1495" s="129">
        <f>IF(F1495&lt;&gt;"",1+MAX($A$7:A1494),"")</f>
        <v>552</v>
      </c>
      <c r="B1495" s="140" t="s">
        <v>326</v>
      </c>
      <c r="C1495" s="140" t="s">
        <v>308</v>
      </c>
      <c r="D1495" s="141"/>
      <c r="E1495" s="163" t="s">
        <v>339</v>
      </c>
      <c r="F1495" s="149">
        <v>32.17</v>
      </c>
      <c r="G1495" s="124">
        <v>0.1</v>
      </c>
      <c r="H1495" s="143">
        <f t="shared" si="163"/>
        <v>35.387000000000008</v>
      </c>
      <c r="I1495" s="145" t="s">
        <v>15</v>
      </c>
      <c r="J1495" s="104">
        <f t="shared" si="164"/>
        <v>0</v>
      </c>
      <c r="K1495" s="104">
        <f t="shared" si="165"/>
        <v>0</v>
      </c>
      <c r="L1495" s="148"/>
    </row>
    <row r="1496" spans="1:12" x14ac:dyDescent="0.2">
      <c r="A1496" s="129">
        <f>IF(F1496&lt;&gt;"",1+MAX($A$7:A1495),"")</f>
        <v>553</v>
      </c>
      <c r="B1496" s="140" t="s">
        <v>326</v>
      </c>
      <c r="C1496" s="140" t="s">
        <v>308</v>
      </c>
      <c r="D1496" s="141"/>
      <c r="E1496" s="163" t="s">
        <v>340</v>
      </c>
      <c r="F1496" s="149">
        <v>30.87</v>
      </c>
      <c r="G1496" s="124">
        <v>0.1</v>
      </c>
      <c r="H1496" s="143">
        <f t="shared" si="163"/>
        <v>33.957000000000001</v>
      </c>
      <c r="I1496" s="145" t="s">
        <v>15</v>
      </c>
      <c r="J1496" s="104">
        <f t="shared" si="164"/>
        <v>0</v>
      </c>
      <c r="K1496" s="104">
        <f t="shared" si="165"/>
        <v>0</v>
      </c>
      <c r="L1496" s="148"/>
    </row>
    <row r="1497" spans="1:12" x14ac:dyDescent="0.2">
      <c r="A1497" s="129" t="str">
        <f>IF(F1497&lt;&gt;"",1+MAX($A$7:A1496),"")</f>
        <v/>
      </c>
      <c r="B1497" s="140"/>
      <c r="C1497" s="140"/>
      <c r="D1497" s="141"/>
      <c r="E1497" s="163"/>
      <c r="F1497" s="149"/>
      <c r="G1497" s="144"/>
      <c r="H1497" s="143"/>
      <c r="I1497" s="145"/>
      <c r="J1497" s="23"/>
      <c r="K1497" s="104"/>
      <c r="L1497" s="148"/>
    </row>
    <row r="1498" spans="1:12" x14ac:dyDescent="0.2">
      <c r="A1498" s="129" t="str">
        <f>IF(F1498&lt;&gt;"",1+MAX($A$7:A1497),"")</f>
        <v/>
      </c>
      <c r="B1498" s="140"/>
      <c r="C1498" s="140"/>
      <c r="D1498" s="141"/>
      <c r="E1498" s="158" t="s">
        <v>60</v>
      </c>
      <c r="F1498" s="149"/>
      <c r="G1498" s="144"/>
      <c r="H1498" s="143"/>
      <c r="I1498" s="145"/>
      <c r="J1498" s="161"/>
      <c r="K1498" s="104"/>
      <c r="L1498" s="148"/>
    </row>
    <row r="1499" spans="1:12" x14ac:dyDescent="0.2">
      <c r="A1499" s="129">
        <f>IF(F1499&lt;&gt;"",1+MAX($A$7:A1498),"")</f>
        <v>554</v>
      </c>
      <c r="B1499" s="140" t="s">
        <v>341</v>
      </c>
      <c r="C1499" s="140" t="s">
        <v>308</v>
      </c>
      <c r="D1499" s="141"/>
      <c r="E1499" s="163" t="s">
        <v>93</v>
      </c>
      <c r="F1499" s="149">
        <v>1040.55</v>
      </c>
      <c r="G1499" s="124">
        <v>0.1</v>
      </c>
      <c r="H1499" s="143">
        <f t="shared" ref="H1499" si="166">F1499*(1+G1499)</f>
        <v>1144.605</v>
      </c>
      <c r="I1499" s="145" t="s">
        <v>15</v>
      </c>
      <c r="J1499" s="127">
        <v>0</v>
      </c>
      <c r="K1499" s="104">
        <f t="shared" ref="K1499" si="167">J1499*H1499</f>
        <v>0</v>
      </c>
      <c r="L1499" s="148"/>
    </row>
    <row r="1500" spans="1:12" x14ac:dyDescent="0.2">
      <c r="A1500" s="129" t="str">
        <f>IF(F1500&lt;&gt;"",1+MAX($A$7:A1499),"")</f>
        <v/>
      </c>
      <c r="B1500" s="140"/>
      <c r="C1500" s="140"/>
      <c r="D1500" s="141"/>
      <c r="E1500" s="163"/>
      <c r="F1500" s="149"/>
      <c r="G1500" s="144"/>
      <c r="H1500" s="143"/>
      <c r="I1500" s="145"/>
      <c r="J1500" s="23"/>
      <c r="K1500" s="104"/>
      <c r="L1500" s="148"/>
    </row>
    <row r="1501" spans="1:12" x14ac:dyDescent="0.2">
      <c r="A1501" s="129" t="str">
        <f>IF(F1501&lt;&gt;"",1+MAX($A$7:A1500),"")</f>
        <v/>
      </c>
      <c r="B1501" s="140"/>
      <c r="C1501" s="140"/>
      <c r="D1501" s="141"/>
      <c r="E1501" s="158" t="s">
        <v>94</v>
      </c>
      <c r="F1501" s="149"/>
      <c r="G1501" s="144"/>
      <c r="H1501" s="143"/>
      <c r="I1501" s="145"/>
      <c r="J1501" s="161"/>
      <c r="K1501" s="104"/>
      <c r="L1501" s="148"/>
    </row>
    <row r="1502" spans="1:12" ht="31.5" x14ac:dyDescent="0.2">
      <c r="A1502" s="129">
        <f>IF(F1502&lt;&gt;"",1+MAX($A$7:A1501),"")</f>
        <v>555</v>
      </c>
      <c r="B1502" s="140" t="s">
        <v>326</v>
      </c>
      <c r="C1502" s="140" t="s">
        <v>308</v>
      </c>
      <c r="D1502" s="141"/>
      <c r="E1502" s="163" t="s">
        <v>59</v>
      </c>
      <c r="F1502" s="149">
        <v>1105.56</v>
      </c>
      <c r="G1502" s="124">
        <v>0.1</v>
      </c>
      <c r="H1502" s="143">
        <f t="shared" ref="H1502:H1503" si="168">F1502*(1+G1502)</f>
        <v>1216.116</v>
      </c>
      <c r="I1502" s="145" t="s">
        <v>18</v>
      </c>
      <c r="J1502" s="104">
        <f>J$1479</f>
        <v>0</v>
      </c>
      <c r="K1502" s="104">
        <f t="shared" ref="K1502:K1503" si="169">J1502*H1502</f>
        <v>0</v>
      </c>
      <c r="L1502" s="148"/>
    </row>
    <row r="1503" spans="1:12" x14ac:dyDescent="0.2">
      <c r="A1503" s="129">
        <f>IF(F1503&lt;&gt;"",1+MAX($A$7:A1502),"")</f>
        <v>556</v>
      </c>
      <c r="B1503" s="140" t="s">
        <v>326</v>
      </c>
      <c r="C1503" s="140" t="s">
        <v>308</v>
      </c>
      <c r="D1503" s="141"/>
      <c r="E1503" s="163" t="s">
        <v>342</v>
      </c>
      <c r="F1503" s="149">
        <v>21</v>
      </c>
      <c r="G1503" s="124">
        <v>0.1</v>
      </c>
      <c r="H1503" s="143">
        <f t="shared" si="168"/>
        <v>23.1</v>
      </c>
      <c r="I1503" s="145" t="s">
        <v>15</v>
      </c>
      <c r="J1503" s="23">
        <f>J$1499</f>
        <v>0</v>
      </c>
      <c r="K1503" s="104">
        <f t="shared" si="169"/>
        <v>0</v>
      </c>
      <c r="L1503" s="148"/>
    </row>
    <row r="1504" spans="1:12" x14ac:dyDescent="0.2">
      <c r="A1504" s="129" t="str">
        <f>IF(F1504&lt;&gt;"",1+MAX($A$7:A1503),"")</f>
        <v/>
      </c>
      <c r="B1504" s="140"/>
      <c r="C1504" s="140"/>
      <c r="D1504" s="141"/>
      <c r="E1504" s="153"/>
      <c r="F1504" s="143"/>
      <c r="G1504" s="144"/>
      <c r="H1504" s="143"/>
      <c r="I1504" s="145"/>
      <c r="J1504" s="161"/>
      <c r="K1504" s="147"/>
      <c r="L1504" s="181"/>
    </row>
    <row r="1505" spans="1:12" x14ac:dyDescent="0.2">
      <c r="A1505" s="129" t="str">
        <f>IF(F1505&lt;&gt;"",1+MAX($A$7:A1504),"")</f>
        <v/>
      </c>
      <c r="B1505" s="140"/>
      <c r="C1505" s="140"/>
      <c r="D1505" s="141"/>
      <c r="E1505" s="142" t="s">
        <v>28</v>
      </c>
      <c r="F1505" s="149"/>
      <c r="G1505" s="144"/>
      <c r="H1505" s="143"/>
      <c r="I1505" s="145"/>
      <c r="J1505" s="161"/>
      <c r="K1505" s="105"/>
      <c r="L1505" s="11">
        <f>SUM(K1478:K1504)</f>
        <v>0</v>
      </c>
    </row>
    <row r="1506" spans="1:12" x14ac:dyDescent="0.2">
      <c r="A1506" s="129" t="str">
        <f>IF(F1506&lt;&gt;"",1+MAX($A$7:A1505),"")</f>
        <v/>
      </c>
      <c r="B1506" s="140"/>
      <c r="C1506" s="140"/>
      <c r="D1506" s="141"/>
      <c r="E1506" s="142"/>
      <c r="F1506" s="149"/>
      <c r="G1506" s="144"/>
      <c r="H1506" s="143"/>
      <c r="I1506" s="145"/>
      <c r="J1506" s="161"/>
      <c r="K1506" s="105"/>
      <c r="L1506" s="11"/>
    </row>
    <row r="1507" spans="1:12" x14ac:dyDescent="0.2">
      <c r="A1507" s="129" t="str">
        <f>IF(F1507&lt;&gt;"",1+MAX($A$7:A1506),"")</f>
        <v/>
      </c>
      <c r="B1507" s="140"/>
      <c r="C1507" s="145"/>
      <c r="D1507" s="173" t="s">
        <v>350</v>
      </c>
      <c r="E1507" s="156" t="s">
        <v>1199</v>
      </c>
      <c r="F1507" s="149"/>
      <c r="G1507" s="144"/>
      <c r="H1507" s="143"/>
      <c r="I1507" s="145"/>
      <c r="J1507" s="161"/>
      <c r="K1507" s="104"/>
      <c r="L1507" s="148"/>
    </row>
    <row r="1508" spans="1:12" x14ac:dyDescent="0.2">
      <c r="A1508" s="129" t="str">
        <f>IF(F1508&lt;&gt;"",1+MAX($A$7:A1507),"")</f>
        <v/>
      </c>
      <c r="B1508" s="140"/>
      <c r="C1508" s="140"/>
      <c r="D1508" s="174"/>
      <c r="E1508" s="175" t="s">
        <v>351</v>
      </c>
      <c r="F1508" s="153"/>
      <c r="G1508" s="153"/>
      <c r="H1508" s="153"/>
      <c r="I1508" s="153"/>
      <c r="J1508" s="176"/>
      <c r="K1508" s="153"/>
      <c r="L1508" s="148"/>
    </row>
    <row r="1509" spans="1:12" ht="47.25" x14ac:dyDescent="0.2">
      <c r="A1509" s="129">
        <f>IF(F1509&lt;&gt;"",1+MAX($A$7:A1508),"")</f>
        <v>557</v>
      </c>
      <c r="B1509" s="140" t="s">
        <v>352</v>
      </c>
      <c r="C1509" s="140"/>
      <c r="D1509" s="141"/>
      <c r="E1509" s="163" t="s">
        <v>361</v>
      </c>
      <c r="F1509" s="149">
        <v>1</v>
      </c>
      <c r="G1509" s="144">
        <v>0</v>
      </c>
      <c r="H1509" s="143">
        <f t="shared" ref="H1509" si="170">F1509*(1+G1509)</f>
        <v>1</v>
      </c>
      <c r="I1509" s="145" t="s">
        <v>20</v>
      </c>
      <c r="J1509" s="104">
        <v>0</v>
      </c>
      <c r="K1509" s="104">
        <f t="shared" ref="K1509" si="171">J1509*H1509</f>
        <v>0</v>
      </c>
      <c r="L1509" s="148"/>
    </row>
    <row r="1510" spans="1:12" x14ac:dyDescent="0.2">
      <c r="A1510" s="129" t="str">
        <f>IF(F1510&lt;&gt;"",1+MAX($A$7:A1509),"")</f>
        <v/>
      </c>
      <c r="B1510" s="140"/>
      <c r="C1510" s="140"/>
      <c r="D1510" s="141"/>
      <c r="E1510" s="142"/>
      <c r="F1510" s="143"/>
      <c r="G1510" s="144"/>
      <c r="H1510" s="143"/>
      <c r="I1510" s="145"/>
      <c r="J1510" s="161"/>
      <c r="K1510" s="147"/>
      <c r="L1510" s="148"/>
    </row>
    <row r="1511" spans="1:12" x14ac:dyDescent="0.2">
      <c r="A1511" s="129" t="str">
        <f>IF(F1511&lt;&gt;"",1+MAX($A$7:A1510),"")</f>
        <v/>
      </c>
      <c r="B1511" s="140"/>
      <c r="C1511" s="140"/>
      <c r="D1511" s="141"/>
      <c r="E1511" s="142" t="s">
        <v>362</v>
      </c>
      <c r="F1511" s="149"/>
      <c r="G1511" s="144"/>
      <c r="H1511" s="143"/>
      <c r="I1511" s="145"/>
      <c r="J1511" s="161"/>
      <c r="K1511" s="105"/>
      <c r="L1511" s="11">
        <f>SUM(K1508:K1510)</f>
        <v>0</v>
      </c>
    </row>
    <row r="1512" spans="1:12" x14ac:dyDescent="0.2">
      <c r="A1512" s="129" t="str">
        <f>IF(F1512&lt;&gt;"",1+MAX($A$7:A1511),"")</f>
        <v/>
      </c>
      <c r="B1512" s="140"/>
      <c r="C1512" s="140"/>
      <c r="D1512" s="141"/>
      <c r="E1512" s="163"/>
      <c r="F1512" s="149"/>
      <c r="G1512" s="144"/>
      <c r="H1512" s="143"/>
      <c r="I1512" s="145"/>
      <c r="J1512" s="104"/>
      <c r="K1512" s="104"/>
      <c r="L1512" s="148"/>
    </row>
    <row r="1513" spans="1:12" x14ac:dyDescent="0.2">
      <c r="A1513" s="129" t="str">
        <f>IF(F1513&lt;&gt;"",1+MAX($A$7:A1512),"")</f>
        <v/>
      </c>
      <c r="B1513" s="140"/>
      <c r="C1513" s="140"/>
      <c r="D1513" s="174"/>
      <c r="E1513" s="175" t="s">
        <v>1202</v>
      </c>
      <c r="F1513" s="153"/>
      <c r="G1513" s="153"/>
      <c r="H1513" s="153"/>
      <c r="I1513" s="153"/>
      <c r="J1513" s="176"/>
      <c r="K1513" s="153"/>
      <c r="L1513" s="148"/>
    </row>
    <row r="1514" spans="1:12" ht="44.25" customHeight="1" x14ac:dyDescent="0.2">
      <c r="A1514" s="129">
        <f>IF(F1514&lt;&gt;"",1+MAX($A$7:A1513),"")</f>
        <v>558</v>
      </c>
      <c r="B1514" s="140" t="s">
        <v>352</v>
      </c>
      <c r="C1514" s="140"/>
      <c r="D1514" s="141"/>
      <c r="E1514" s="163" t="s">
        <v>1200</v>
      </c>
      <c r="F1514" s="149">
        <v>2</v>
      </c>
      <c r="G1514" s="144">
        <v>0</v>
      </c>
      <c r="H1514" s="143">
        <f t="shared" ref="H1514" si="172">F1514*(1+G1514)</f>
        <v>2</v>
      </c>
      <c r="I1514" s="145" t="s">
        <v>20</v>
      </c>
      <c r="J1514" s="104">
        <v>0</v>
      </c>
      <c r="K1514" s="104">
        <f t="shared" ref="K1514" si="173">J1514*H1514</f>
        <v>0</v>
      </c>
      <c r="L1514" s="148"/>
    </row>
    <row r="1515" spans="1:12" x14ac:dyDescent="0.2">
      <c r="A1515" s="129"/>
      <c r="B1515" s="140"/>
      <c r="C1515" s="140"/>
      <c r="D1515" s="141"/>
      <c r="E1515" s="163"/>
      <c r="F1515" s="149"/>
      <c r="G1515" s="144"/>
      <c r="H1515" s="143"/>
      <c r="I1515" s="145"/>
      <c r="J1515" s="104"/>
      <c r="K1515" s="104"/>
      <c r="L1515" s="148"/>
    </row>
    <row r="1516" spans="1:12" x14ac:dyDescent="0.2">
      <c r="A1516" s="129" t="str">
        <f>IF(F1516&lt;&gt;"",1+MAX($A$7:A1514),"")</f>
        <v/>
      </c>
      <c r="B1516" s="140"/>
      <c r="C1516" s="140"/>
      <c r="D1516" s="141"/>
      <c r="E1516" s="142" t="s">
        <v>1201</v>
      </c>
      <c r="F1516" s="149"/>
      <c r="G1516" s="144"/>
      <c r="H1516" s="143"/>
      <c r="I1516" s="145"/>
      <c r="J1516" s="161"/>
      <c r="K1516" s="105"/>
      <c r="L1516" s="11">
        <f>SUM(K1513:K1514)</f>
        <v>0</v>
      </c>
    </row>
    <row r="1517" spans="1:12" s="64" customFormat="1" x14ac:dyDescent="0.2">
      <c r="A1517" s="129" t="str">
        <f>IF(F1517&lt;&gt;"",1+MAX(#REF!),"")</f>
        <v/>
      </c>
      <c r="B1517" s="140"/>
      <c r="C1517" s="182"/>
      <c r="D1517" s="140"/>
      <c r="E1517" s="156" t="s">
        <v>344</v>
      </c>
      <c r="F1517" s="149"/>
      <c r="G1517" s="144"/>
      <c r="H1517" s="143"/>
      <c r="I1517" s="145"/>
      <c r="J1517" s="23"/>
      <c r="K1517" s="157"/>
      <c r="L1517" s="155"/>
    </row>
    <row r="1518" spans="1:12" s="64" customFormat="1" x14ac:dyDescent="0.2">
      <c r="A1518" s="129"/>
      <c r="B1518" s="140"/>
      <c r="C1518" s="182"/>
      <c r="D1518" s="140"/>
      <c r="E1518" s="156"/>
      <c r="F1518" s="149"/>
      <c r="G1518" s="144"/>
      <c r="H1518" s="143"/>
      <c r="I1518" s="145"/>
      <c r="J1518" s="23"/>
      <c r="K1518" s="157"/>
      <c r="L1518" s="155"/>
    </row>
    <row r="1519" spans="1:12" s="17" customFormat="1" ht="45.75" customHeight="1" x14ac:dyDescent="0.2">
      <c r="A1519" s="129">
        <f>IF(F1519&lt;&gt;"",1+MAX($A$7:A1516),"")</f>
        <v>559</v>
      </c>
      <c r="B1519" s="140" t="s">
        <v>295</v>
      </c>
      <c r="C1519" s="120" t="s">
        <v>296</v>
      </c>
      <c r="D1519" s="121"/>
      <c r="E1519" s="122" t="s">
        <v>387</v>
      </c>
      <c r="F1519" s="123">
        <v>-15498</v>
      </c>
      <c r="G1519" s="124">
        <v>0.1</v>
      </c>
      <c r="H1519" s="125">
        <f t="shared" ref="H1519:H1520" si="174">F1519*(1+G1519)</f>
        <v>-17047.800000000003</v>
      </c>
      <c r="I1519" s="126" t="s">
        <v>18</v>
      </c>
      <c r="J1519" s="127">
        <f>J$1346</f>
        <v>0</v>
      </c>
      <c r="K1519" s="104">
        <f>J1519*H1519</f>
        <v>0</v>
      </c>
      <c r="L1519" s="128"/>
    </row>
    <row r="1520" spans="1:12" s="17" customFormat="1" ht="31.5" x14ac:dyDescent="0.2">
      <c r="A1520" s="129">
        <f>IF(F1520&lt;&gt;"",1+MAX($A$7:A1519),"")</f>
        <v>560</v>
      </c>
      <c r="B1520" s="140" t="s">
        <v>295</v>
      </c>
      <c r="C1520" s="120" t="s">
        <v>302</v>
      </c>
      <c r="D1520" s="121"/>
      <c r="E1520" s="122" t="s">
        <v>394</v>
      </c>
      <c r="F1520" s="123">
        <v>15498</v>
      </c>
      <c r="G1520" s="124">
        <v>0.1</v>
      </c>
      <c r="H1520" s="125">
        <f t="shared" si="174"/>
        <v>17047.800000000003</v>
      </c>
      <c r="I1520" s="126" t="s">
        <v>18</v>
      </c>
      <c r="J1520" s="127">
        <f>J$1341</f>
        <v>0</v>
      </c>
      <c r="K1520" s="104">
        <f>J1520*H1520</f>
        <v>0</v>
      </c>
      <c r="L1520" s="128"/>
    </row>
    <row r="1521" spans="1:12" s="17" customFormat="1" ht="18.75" x14ac:dyDescent="0.2">
      <c r="A1521" s="129"/>
      <c r="B1521" s="140"/>
      <c r="C1521" s="120"/>
      <c r="D1521" s="121"/>
      <c r="E1521" s="122"/>
      <c r="F1521" s="123"/>
      <c r="G1521" s="124"/>
      <c r="H1521" s="125"/>
      <c r="I1521" s="126"/>
      <c r="J1521" s="127"/>
      <c r="K1521" s="104"/>
      <c r="L1521" s="128"/>
    </row>
    <row r="1522" spans="1:12" ht="60.75" customHeight="1" x14ac:dyDescent="0.2">
      <c r="A1522" s="129" t="str">
        <f>IF(F1522&lt;&gt;"",1+MAX($A$7:A1520),"")</f>
        <v/>
      </c>
      <c r="B1522" s="140"/>
      <c r="C1522" s="140"/>
      <c r="D1522" s="141"/>
      <c r="E1522" s="169" t="s">
        <v>393</v>
      </c>
      <c r="F1522" s="143"/>
      <c r="G1522" s="144"/>
      <c r="H1522" s="143"/>
      <c r="I1522" s="145"/>
      <c r="J1522" s="161"/>
      <c r="K1522" s="147"/>
      <c r="L1522" s="148"/>
    </row>
    <row r="1523" spans="1:12" ht="24" customHeight="1" x14ac:dyDescent="0.2">
      <c r="A1523" s="129"/>
      <c r="B1523" s="140"/>
      <c r="C1523" s="140"/>
      <c r="D1523" s="141"/>
      <c r="E1523" s="169"/>
      <c r="F1523" s="143"/>
      <c r="G1523" s="144"/>
      <c r="H1523" s="143"/>
      <c r="I1523" s="145"/>
      <c r="J1523" s="161"/>
      <c r="K1523" s="147"/>
      <c r="L1523" s="148"/>
    </row>
    <row r="1524" spans="1:12" x14ac:dyDescent="0.2">
      <c r="A1524" s="129" t="str">
        <f>IF(F1524&lt;&gt;"",1+MAX($A$7:A1522),"")</f>
        <v/>
      </c>
      <c r="B1524" s="140"/>
      <c r="C1524" s="140"/>
      <c r="D1524" s="141"/>
      <c r="E1524" s="142" t="s">
        <v>345</v>
      </c>
      <c r="F1524" s="149"/>
      <c r="G1524" s="144"/>
      <c r="H1524" s="143"/>
      <c r="I1524" s="145"/>
      <c r="J1524" s="161"/>
      <c r="K1524" s="105"/>
      <c r="L1524" s="11">
        <f>SUM(K1517:K1522)</f>
        <v>0</v>
      </c>
    </row>
    <row r="1525" spans="1:12" s="61" customFormat="1" x14ac:dyDescent="0.2">
      <c r="A1525" s="118" t="s">
        <v>14</v>
      </c>
      <c r="B1525" s="107"/>
      <c r="C1525" s="106"/>
      <c r="D1525" s="106"/>
      <c r="E1525" s="108"/>
      <c r="F1525" s="109"/>
      <c r="G1525" s="110"/>
      <c r="H1525" s="110"/>
      <c r="I1525" s="111"/>
      <c r="J1525" s="117"/>
      <c r="K1525" s="112">
        <f>(SUM(K1517:K1524))/1</f>
        <v>0</v>
      </c>
      <c r="L1525" s="119">
        <f>(SUM(L1517:L1524))/1</f>
        <v>0</v>
      </c>
    </row>
    <row r="1526" spans="1:12" s="61" customFormat="1" x14ac:dyDescent="0.2">
      <c r="A1526" s="118" t="s">
        <v>343</v>
      </c>
      <c r="B1526" s="113"/>
      <c r="C1526" s="111"/>
      <c r="D1526" s="111"/>
      <c r="E1526" s="114"/>
      <c r="F1526" s="109"/>
      <c r="G1526" s="115"/>
      <c r="H1526" s="116"/>
      <c r="I1526" s="111"/>
      <c r="J1526" s="117"/>
      <c r="K1526" s="112"/>
      <c r="L1526" s="119">
        <f>SUM(L1525:L1525)</f>
        <v>0</v>
      </c>
    </row>
    <row r="1527" spans="1:12" x14ac:dyDescent="0.2">
      <c r="A1527" s="319" t="s">
        <v>734</v>
      </c>
      <c r="B1527" s="320"/>
      <c r="C1527" s="320"/>
      <c r="D1527" s="320"/>
      <c r="E1527" s="320"/>
      <c r="F1527" s="320"/>
      <c r="G1527" s="320"/>
      <c r="H1527" s="320"/>
      <c r="I1527" s="320"/>
      <c r="J1527" s="320"/>
      <c r="K1527" s="320"/>
      <c r="L1527" s="321"/>
    </row>
    <row r="1528" spans="1:12" ht="16.5" thickBot="1" x14ac:dyDescent="0.25">
      <c r="A1528" s="316" t="s">
        <v>735</v>
      </c>
      <c r="B1528" s="317"/>
      <c r="C1528" s="317"/>
      <c r="D1528" s="317"/>
      <c r="E1528" s="317"/>
      <c r="F1528" s="317"/>
      <c r="G1528" s="317"/>
      <c r="H1528" s="317"/>
      <c r="I1528" s="317"/>
      <c r="J1528" s="317"/>
      <c r="K1528" s="317"/>
      <c r="L1528" s="318"/>
    </row>
    <row r="1529" spans="1:12" ht="16.5" thickBot="1" x14ac:dyDescent="0.25"/>
    <row r="1530" spans="1:12" x14ac:dyDescent="0.2">
      <c r="A1530" s="130"/>
      <c r="B1530" s="211"/>
      <c r="C1530" s="132"/>
      <c r="D1530" s="133" t="s">
        <v>453</v>
      </c>
      <c r="E1530" s="134" t="s">
        <v>454</v>
      </c>
      <c r="F1530" s="135"/>
      <c r="G1530" s="136"/>
      <c r="H1530" s="136"/>
      <c r="I1530" s="136"/>
      <c r="J1530" s="137"/>
      <c r="K1530" s="136"/>
      <c r="L1530" s="138"/>
    </row>
    <row r="1531" spans="1:12" x14ac:dyDescent="0.2">
      <c r="A1531" s="129" t="str">
        <f>IF(F1531&lt;&gt;"",1+MAX($A$6:B1539),"")</f>
        <v/>
      </c>
      <c r="B1531" s="126"/>
      <c r="C1531" s="120"/>
      <c r="D1531" s="120"/>
      <c r="E1531" s="172" t="s">
        <v>455</v>
      </c>
      <c r="F1531" s="123"/>
      <c r="G1531" s="124"/>
      <c r="H1531" s="125"/>
      <c r="I1531" s="126"/>
      <c r="J1531" s="126"/>
      <c r="K1531" s="126"/>
      <c r="L1531" s="160"/>
    </row>
    <row r="1532" spans="1:12" x14ac:dyDescent="0.2">
      <c r="A1532" s="129" t="str">
        <f>IF(F1532&lt;&gt;"",1+MAX($A$6:B1540),"")</f>
        <v/>
      </c>
      <c r="B1532" s="126"/>
      <c r="C1532" s="120"/>
      <c r="D1532" s="120"/>
      <c r="E1532" s="172" t="s">
        <v>456</v>
      </c>
      <c r="F1532" s="123"/>
      <c r="G1532" s="184"/>
      <c r="H1532" s="125"/>
      <c r="I1532" s="126"/>
      <c r="J1532" s="23"/>
      <c r="K1532" s="207"/>
      <c r="L1532" s="160"/>
    </row>
    <row r="1533" spans="1:12" ht="78.75" x14ac:dyDescent="0.2">
      <c r="A1533" s="129" t="str">
        <f>IF(F1533&lt;&gt;"",1+MAX($A$6:B1541),"")</f>
        <v/>
      </c>
      <c r="B1533" s="126"/>
      <c r="C1533" s="120"/>
      <c r="D1533" s="183"/>
      <c r="E1533" s="172" t="s">
        <v>457</v>
      </c>
      <c r="F1533" s="123"/>
      <c r="G1533" s="124"/>
      <c r="H1533" s="125"/>
      <c r="I1533" s="126"/>
      <c r="J1533" s="37"/>
      <c r="K1533" s="159"/>
      <c r="L1533" s="160"/>
    </row>
    <row r="1534" spans="1:12" x14ac:dyDescent="0.2">
      <c r="A1534" s="129">
        <f ca="1">IF(F1534&lt;&gt;"",1+MAX($A$6:B1542),"")</f>
        <v>561</v>
      </c>
      <c r="B1534" s="126" t="s">
        <v>458</v>
      </c>
      <c r="C1534" s="120" t="s">
        <v>459</v>
      </c>
      <c r="D1534" s="120"/>
      <c r="E1534" s="122" t="s">
        <v>460</v>
      </c>
      <c r="F1534" s="123">
        <f>6*6*1.5/27</f>
        <v>2</v>
      </c>
      <c r="G1534" s="124">
        <v>0.1</v>
      </c>
      <c r="H1534" s="125">
        <f t="shared" ref="H1534:H1539" si="175">F1534*(1+G1534)</f>
        <v>2.2000000000000002</v>
      </c>
      <c r="I1534" s="126" t="s">
        <v>461</v>
      </c>
      <c r="J1534" s="37">
        <v>0</v>
      </c>
      <c r="K1534" s="159">
        <f t="shared" ref="K1534:K1539" si="176">J1534*H1534</f>
        <v>0</v>
      </c>
      <c r="L1534" s="160"/>
    </row>
    <row r="1535" spans="1:12" x14ac:dyDescent="0.2">
      <c r="A1535" s="129">
        <f ca="1">IF(F1535&lt;&gt;"",1+MAX($A$6:B1543),"")</f>
        <v>562</v>
      </c>
      <c r="B1535" s="126" t="s">
        <v>458</v>
      </c>
      <c r="C1535" s="120" t="s">
        <v>459</v>
      </c>
      <c r="D1535" s="120"/>
      <c r="E1535" s="122" t="s">
        <v>462</v>
      </c>
      <c r="F1535" s="123">
        <f>4*6*1.5</f>
        <v>36</v>
      </c>
      <c r="G1535" s="184">
        <v>0.1</v>
      </c>
      <c r="H1535" s="125">
        <f t="shared" si="175"/>
        <v>39.6</v>
      </c>
      <c r="I1535" s="126" t="s">
        <v>463</v>
      </c>
      <c r="J1535" s="37">
        <v>0</v>
      </c>
      <c r="K1535" s="159">
        <f t="shared" si="176"/>
        <v>0</v>
      </c>
      <c r="L1535" s="160"/>
    </row>
    <row r="1536" spans="1:12" x14ac:dyDescent="0.2">
      <c r="A1536" s="129">
        <f ca="1">IF(F1536&lt;&gt;"",1+MAX($A$6:B1544),"")</f>
        <v>563</v>
      </c>
      <c r="B1536" s="126" t="s">
        <v>458</v>
      </c>
      <c r="C1536" s="120" t="s">
        <v>459</v>
      </c>
      <c r="D1536" s="120"/>
      <c r="E1536" s="122" t="s">
        <v>464</v>
      </c>
      <c r="F1536" s="123">
        <f>7*7*1.5/27</f>
        <v>2.7222222222222223</v>
      </c>
      <c r="G1536" s="184">
        <v>0.1</v>
      </c>
      <c r="H1536" s="125">
        <f t="shared" si="175"/>
        <v>2.9944444444444449</v>
      </c>
      <c r="I1536" s="126" t="s">
        <v>461</v>
      </c>
      <c r="J1536" s="37">
        <v>0</v>
      </c>
      <c r="K1536" s="159">
        <f t="shared" si="176"/>
        <v>0</v>
      </c>
      <c r="L1536" s="160"/>
    </row>
    <row r="1537" spans="1:12" x14ac:dyDescent="0.2">
      <c r="A1537" s="129">
        <f ca="1">IF(F1537&lt;&gt;"",1+MAX($A$6:B1545),"")</f>
        <v>564</v>
      </c>
      <c r="B1537" s="126" t="s">
        <v>458</v>
      </c>
      <c r="C1537" s="120" t="s">
        <v>459</v>
      </c>
      <c r="D1537" s="120"/>
      <c r="E1537" s="122" t="s">
        <v>465</v>
      </c>
      <c r="F1537" s="123">
        <f>F1536-F1534</f>
        <v>0.72222222222222232</v>
      </c>
      <c r="G1537" s="184">
        <v>0.1</v>
      </c>
      <c r="H1537" s="125">
        <f t="shared" si="175"/>
        <v>0.79444444444444462</v>
      </c>
      <c r="I1537" s="126" t="s">
        <v>461</v>
      </c>
      <c r="J1537" s="37">
        <v>0</v>
      </c>
      <c r="K1537" s="159">
        <f t="shared" si="176"/>
        <v>0</v>
      </c>
      <c r="L1537" s="160"/>
    </row>
    <row r="1538" spans="1:12" x14ac:dyDescent="0.2">
      <c r="A1538" s="129">
        <f ca="1">IF(F1538&lt;&gt;"",1+MAX($A$6:B1546),"")</f>
        <v>565</v>
      </c>
      <c r="B1538" s="126" t="s">
        <v>458</v>
      </c>
      <c r="C1538" s="120" t="s">
        <v>459</v>
      </c>
      <c r="D1538" s="120"/>
      <c r="E1538" s="122" t="s">
        <v>466</v>
      </c>
      <c r="F1538" s="123">
        <f>6*6*0.668*1.2*2</f>
        <v>57.715200000000003</v>
      </c>
      <c r="G1538" s="184">
        <v>0.1</v>
      </c>
      <c r="H1538" s="125">
        <f t="shared" si="175"/>
        <v>63.486720000000005</v>
      </c>
      <c r="I1538" s="126" t="s">
        <v>292</v>
      </c>
      <c r="J1538" s="37">
        <v>0</v>
      </c>
      <c r="K1538" s="159">
        <f t="shared" si="176"/>
        <v>0</v>
      </c>
      <c r="L1538" s="160"/>
    </row>
    <row r="1539" spans="1:12" x14ac:dyDescent="0.2">
      <c r="A1539" s="129">
        <f ca="1">IF(F1539&lt;&gt;"",1+MAX($A$6:B1547),"")</f>
        <v>566</v>
      </c>
      <c r="B1539" s="126" t="s">
        <v>458</v>
      </c>
      <c r="C1539" s="120" t="s">
        <v>459</v>
      </c>
      <c r="D1539" s="120"/>
      <c r="E1539" s="122" t="s">
        <v>467</v>
      </c>
      <c r="F1539" s="123">
        <f>6*6*1.5*1.2*2</f>
        <v>129.6</v>
      </c>
      <c r="G1539" s="184">
        <v>0.1</v>
      </c>
      <c r="H1539" s="125">
        <f t="shared" si="175"/>
        <v>142.56</v>
      </c>
      <c r="I1539" s="126" t="s">
        <v>292</v>
      </c>
      <c r="J1539" s="37">
        <f>$J$15</f>
        <v>0</v>
      </c>
      <c r="K1539" s="159">
        <f t="shared" si="176"/>
        <v>0</v>
      </c>
      <c r="L1539" s="160"/>
    </row>
    <row r="1540" spans="1:12" ht="78.75" x14ac:dyDescent="0.2">
      <c r="A1540" s="129" t="str">
        <f>IF(F1540&lt;&gt;"",1+MAX($A$6:B1548),"")</f>
        <v/>
      </c>
      <c r="B1540" s="126"/>
      <c r="C1540" s="120"/>
      <c r="D1540" s="183"/>
      <c r="E1540" s="172" t="s">
        <v>468</v>
      </c>
      <c r="F1540" s="123"/>
      <c r="G1540" s="124"/>
      <c r="H1540" s="125"/>
      <c r="I1540" s="126"/>
      <c r="J1540" s="37"/>
      <c r="K1540" s="159"/>
      <c r="L1540" s="160"/>
    </row>
    <row r="1541" spans="1:12" x14ac:dyDescent="0.2">
      <c r="A1541" s="129">
        <f ca="1">IF(F1541&lt;&gt;"",1+MAX($A$6:B1549),"")</f>
        <v>567</v>
      </c>
      <c r="B1541" s="126" t="s">
        <v>458</v>
      </c>
      <c r="C1541" s="120" t="s">
        <v>459</v>
      </c>
      <c r="D1541" s="120"/>
      <c r="E1541" s="122" t="s">
        <v>460</v>
      </c>
      <c r="F1541" s="123">
        <f>7*7*1.5*2/27</f>
        <v>5.4444444444444446</v>
      </c>
      <c r="G1541" s="184">
        <v>0.1</v>
      </c>
      <c r="H1541" s="125">
        <f t="shared" ref="H1541:H1546" si="177">F1541*(1+G1541)</f>
        <v>5.9888888888888898</v>
      </c>
      <c r="I1541" s="126" t="s">
        <v>461</v>
      </c>
      <c r="J1541" s="37">
        <f>$J$11</f>
        <v>0</v>
      </c>
      <c r="K1541" s="159">
        <f t="shared" ref="K1541:K1546" si="178">J1541*H1541</f>
        <v>0</v>
      </c>
      <c r="L1541" s="160"/>
    </row>
    <row r="1542" spans="1:12" x14ac:dyDescent="0.2">
      <c r="A1542" s="129">
        <f ca="1">IF(F1542&lt;&gt;"",1+MAX($A$6:B1550),"")</f>
        <v>568</v>
      </c>
      <c r="B1542" s="126" t="s">
        <v>458</v>
      </c>
      <c r="C1542" s="120" t="s">
        <v>459</v>
      </c>
      <c r="D1542" s="120"/>
      <c r="E1542" s="122" t="s">
        <v>462</v>
      </c>
      <c r="F1542" s="123">
        <f>4*7*1.5*2</f>
        <v>84</v>
      </c>
      <c r="G1542" s="184">
        <v>0.1</v>
      </c>
      <c r="H1542" s="125">
        <f t="shared" si="177"/>
        <v>92.4</v>
      </c>
      <c r="I1542" s="126" t="s">
        <v>463</v>
      </c>
      <c r="J1542" s="37">
        <f>$J$12</f>
        <v>0</v>
      </c>
      <c r="K1542" s="159">
        <f t="shared" si="178"/>
        <v>0</v>
      </c>
      <c r="L1542" s="160"/>
    </row>
    <row r="1543" spans="1:12" x14ac:dyDescent="0.2">
      <c r="A1543" s="129">
        <f ca="1">IF(F1543&lt;&gt;"",1+MAX($A$6:B1551),"")</f>
        <v>569</v>
      </c>
      <c r="B1543" s="126" t="s">
        <v>458</v>
      </c>
      <c r="C1543" s="120" t="s">
        <v>459</v>
      </c>
      <c r="D1543" s="120"/>
      <c r="E1543" s="122" t="s">
        <v>464</v>
      </c>
      <c r="F1543" s="123">
        <f>8*8*1.5*2/27</f>
        <v>7.1111111111111107</v>
      </c>
      <c r="G1543" s="184">
        <v>0.1</v>
      </c>
      <c r="H1543" s="125">
        <f t="shared" si="177"/>
        <v>7.8222222222222229</v>
      </c>
      <c r="I1543" s="126" t="s">
        <v>461</v>
      </c>
      <c r="J1543" s="37">
        <f>$J$13</f>
        <v>0</v>
      </c>
      <c r="K1543" s="159">
        <f t="shared" si="178"/>
        <v>0</v>
      </c>
      <c r="L1543" s="160"/>
    </row>
    <row r="1544" spans="1:12" x14ac:dyDescent="0.2">
      <c r="A1544" s="129">
        <f ca="1">IF(F1544&lt;&gt;"",1+MAX($A$6:B1552),"")</f>
        <v>570</v>
      </c>
      <c r="B1544" s="126" t="s">
        <v>458</v>
      </c>
      <c r="C1544" s="120" t="s">
        <v>459</v>
      </c>
      <c r="D1544" s="120"/>
      <c r="E1544" s="122" t="s">
        <v>465</v>
      </c>
      <c r="F1544" s="123">
        <f>F1543-F1541</f>
        <v>1.6666666666666661</v>
      </c>
      <c r="G1544" s="184">
        <v>0.1</v>
      </c>
      <c r="H1544" s="125">
        <f t="shared" si="177"/>
        <v>1.8333333333333328</v>
      </c>
      <c r="I1544" s="126" t="s">
        <v>461</v>
      </c>
      <c r="J1544" s="37">
        <f>$J$14</f>
        <v>0</v>
      </c>
      <c r="K1544" s="159">
        <f t="shared" si="178"/>
        <v>0</v>
      </c>
      <c r="L1544" s="160"/>
    </row>
    <row r="1545" spans="1:12" x14ac:dyDescent="0.2">
      <c r="A1545" s="129">
        <f ca="1">IF(F1545&lt;&gt;"",1+MAX($A$6:B1553),"")</f>
        <v>571</v>
      </c>
      <c r="B1545" s="126" t="s">
        <v>458</v>
      </c>
      <c r="C1545" s="120" t="s">
        <v>459</v>
      </c>
      <c r="D1545" s="120"/>
      <c r="E1545" s="122" t="s">
        <v>466</v>
      </c>
      <c r="F1545" s="123">
        <f>6*7*0.668*1.2*2*2</f>
        <v>134.6688</v>
      </c>
      <c r="G1545" s="184">
        <v>0.1</v>
      </c>
      <c r="H1545" s="125">
        <f t="shared" si="177"/>
        <v>148.13568000000001</v>
      </c>
      <c r="I1545" s="126" t="s">
        <v>292</v>
      </c>
      <c r="J1545" s="37">
        <f t="shared" ref="J1545:J1546" si="179">$J$15</f>
        <v>0</v>
      </c>
      <c r="K1545" s="159">
        <f t="shared" si="178"/>
        <v>0</v>
      </c>
      <c r="L1545" s="160"/>
    </row>
    <row r="1546" spans="1:12" x14ac:dyDescent="0.2">
      <c r="A1546" s="129">
        <f ca="1">IF(F1546&lt;&gt;"",1+MAX($A$6:B1554),"")</f>
        <v>572</v>
      </c>
      <c r="B1546" s="126" t="s">
        <v>458</v>
      </c>
      <c r="C1546" s="120" t="s">
        <v>459</v>
      </c>
      <c r="D1546" s="120"/>
      <c r="E1546" s="122" t="s">
        <v>469</v>
      </c>
      <c r="F1546" s="123">
        <f>6*7*2.044*1.2*2*2</f>
        <v>412.07040000000001</v>
      </c>
      <c r="G1546" s="184">
        <v>0.1</v>
      </c>
      <c r="H1546" s="125">
        <f t="shared" si="177"/>
        <v>453.27744000000007</v>
      </c>
      <c r="I1546" s="126" t="s">
        <v>292</v>
      </c>
      <c r="J1546" s="37">
        <f t="shared" si="179"/>
        <v>0</v>
      </c>
      <c r="K1546" s="159">
        <f t="shared" si="178"/>
        <v>0</v>
      </c>
      <c r="L1546" s="160"/>
    </row>
    <row r="1547" spans="1:12" ht="78.75" x14ac:dyDescent="0.2">
      <c r="A1547" s="129" t="str">
        <f>IF(F1547&lt;&gt;"",1+MAX($A$6:B1555),"")</f>
        <v/>
      </c>
      <c r="B1547" s="126"/>
      <c r="C1547" s="120"/>
      <c r="D1547" s="183"/>
      <c r="E1547" s="172" t="s">
        <v>470</v>
      </c>
      <c r="F1547" s="123"/>
      <c r="G1547" s="124"/>
      <c r="H1547" s="125"/>
      <c r="I1547" s="126"/>
      <c r="J1547" s="37"/>
      <c r="K1547" s="159"/>
      <c r="L1547" s="160"/>
    </row>
    <row r="1548" spans="1:12" x14ac:dyDescent="0.2">
      <c r="A1548" s="129">
        <f ca="1">IF(F1548&lt;&gt;"",1+MAX($A$6:B1556),"")</f>
        <v>573</v>
      </c>
      <c r="B1548" s="126" t="s">
        <v>458</v>
      </c>
      <c r="C1548" s="120" t="s">
        <v>459</v>
      </c>
      <c r="D1548" s="120"/>
      <c r="E1548" s="122" t="s">
        <v>460</v>
      </c>
      <c r="F1548" s="123">
        <f>7*7*1.5*3/27</f>
        <v>8.1666666666666661</v>
      </c>
      <c r="G1548" s="184">
        <v>0.1</v>
      </c>
      <c r="H1548" s="125">
        <f t="shared" ref="H1548:H1553" si="180">F1548*(1+G1548)</f>
        <v>8.9833333333333343</v>
      </c>
      <c r="I1548" s="126" t="s">
        <v>461</v>
      </c>
      <c r="J1548" s="37">
        <f>$J$11</f>
        <v>0</v>
      </c>
      <c r="K1548" s="159">
        <f t="shared" ref="K1548:K1553" si="181">J1548*H1548</f>
        <v>0</v>
      </c>
      <c r="L1548" s="160"/>
    </row>
    <row r="1549" spans="1:12" x14ac:dyDescent="0.2">
      <c r="A1549" s="129">
        <f ca="1">IF(F1549&lt;&gt;"",1+MAX($A$6:B1557),"")</f>
        <v>574</v>
      </c>
      <c r="B1549" s="126" t="s">
        <v>458</v>
      </c>
      <c r="C1549" s="120" t="s">
        <v>459</v>
      </c>
      <c r="D1549" s="120"/>
      <c r="E1549" s="122" t="s">
        <v>462</v>
      </c>
      <c r="F1549" s="123">
        <f>4*7*1.5*3</f>
        <v>126</v>
      </c>
      <c r="G1549" s="184">
        <v>0.1</v>
      </c>
      <c r="H1549" s="125">
        <f t="shared" si="180"/>
        <v>138.60000000000002</v>
      </c>
      <c r="I1549" s="126" t="s">
        <v>463</v>
      </c>
      <c r="J1549" s="37">
        <f>$J$12</f>
        <v>0</v>
      </c>
      <c r="K1549" s="159">
        <f t="shared" si="181"/>
        <v>0</v>
      </c>
      <c r="L1549" s="160"/>
    </row>
    <row r="1550" spans="1:12" x14ac:dyDescent="0.2">
      <c r="A1550" s="129">
        <f ca="1">IF(F1550&lt;&gt;"",1+MAX($A$6:B1558),"")</f>
        <v>575</v>
      </c>
      <c r="B1550" s="126" t="s">
        <v>458</v>
      </c>
      <c r="C1550" s="120" t="s">
        <v>459</v>
      </c>
      <c r="D1550" s="120"/>
      <c r="E1550" s="122" t="s">
        <v>464</v>
      </c>
      <c r="F1550" s="123">
        <f>8*8*1.5*3/27</f>
        <v>10.666666666666666</v>
      </c>
      <c r="G1550" s="184">
        <v>0.1</v>
      </c>
      <c r="H1550" s="125">
        <f t="shared" si="180"/>
        <v>11.733333333333334</v>
      </c>
      <c r="I1550" s="126" t="s">
        <v>461</v>
      </c>
      <c r="J1550" s="37">
        <f>$J$13</f>
        <v>0</v>
      </c>
      <c r="K1550" s="159">
        <f t="shared" si="181"/>
        <v>0</v>
      </c>
      <c r="L1550" s="160"/>
    </row>
    <row r="1551" spans="1:12" x14ac:dyDescent="0.2">
      <c r="A1551" s="129">
        <f ca="1">IF(F1551&lt;&gt;"",1+MAX($A$6:B1559),"")</f>
        <v>576</v>
      </c>
      <c r="B1551" s="126" t="s">
        <v>458</v>
      </c>
      <c r="C1551" s="120" t="s">
        <v>459</v>
      </c>
      <c r="D1551" s="120"/>
      <c r="E1551" s="122" t="s">
        <v>465</v>
      </c>
      <c r="F1551" s="123">
        <f>F1550-F1548</f>
        <v>2.5</v>
      </c>
      <c r="G1551" s="184">
        <v>0.1</v>
      </c>
      <c r="H1551" s="125">
        <f t="shared" si="180"/>
        <v>2.75</v>
      </c>
      <c r="I1551" s="126" t="s">
        <v>461</v>
      </c>
      <c r="J1551" s="37">
        <f>$J$14</f>
        <v>0</v>
      </c>
      <c r="K1551" s="159">
        <f t="shared" si="181"/>
        <v>0</v>
      </c>
      <c r="L1551" s="160"/>
    </row>
    <row r="1552" spans="1:12" x14ac:dyDescent="0.2">
      <c r="A1552" s="129">
        <f ca="1">IF(F1552&lt;&gt;"",1+MAX($A$6:B1560),"")</f>
        <v>577</v>
      </c>
      <c r="B1552" s="126" t="s">
        <v>458</v>
      </c>
      <c r="C1552" s="120" t="s">
        <v>459</v>
      </c>
      <c r="D1552" s="120"/>
      <c r="E1552" s="122" t="s">
        <v>466</v>
      </c>
      <c r="F1552" s="123">
        <f>6*7*0.668*1.2*2*3</f>
        <v>202.00319999999999</v>
      </c>
      <c r="G1552" s="184">
        <v>0.1</v>
      </c>
      <c r="H1552" s="125">
        <f t="shared" si="180"/>
        <v>222.20352</v>
      </c>
      <c r="I1552" s="126" t="s">
        <v>292</v>
      </c>
      <c r="J1552" s="37">
        <f t="shared" ref="J1552:J1553" si="182">$J$15</f>
        <v>0</v>
      </c>
      <c r="K1552" s="159">
        <f t="shared" si="181"/>
        <v>0</v>
      </c>
      <c r="L1552" s="160"/>
    </row>
    <row r="1553" spans="1:12" x14ac:dyDescent="0.2">
      <c r="A1553" s="129">
        <f ca="1">IF(F1553&lt;&gt;"",1+MAX($A$6:B1561),"")</f>
        <v>578</v>
      </c>
      <c r="B1553" s="126" t="s">
        <v>458</v>
      </c>
      <c r="C1553" s="120" t="s">
        <v>459</v>
      </c>
      <c r="D1553" s="120"/>
      <c r="E1553" s="122" t="s">
        <v>469</v>
      </c>
      <c r="F1553" s="123">
        <f>6*7*2.044*1.2*2*3</f>
        <v>618.10559999999998</v>
      </c>
      <c r="G1553" s="184">
        <v>0.1</v>
      </c>
      <c r="H1553" s="125">
        <f t="shared" si="180"/>
        <v>679.91615999999999</v>
      </c>
      <c r="I1553" s="126" t="s">
        <v>292</v>
      </c>
      <c r="J1553" s="37">
        <f t="shared" si="182"/>
        <v>0</v>
      </c>
      <c r="K1553" s="159">
        <f t="shared" si="181"/>
        <v>0</v>
      </c>
      <c r="L1553" s="160"/>
    </row>
    <row r="1554" spans="1:12" ht="78.75" x14ac:dyDescent="0.2">
      <c r="A1554" s="129" t="str">
        <f>IF(F1554&lt;&gt;"",1+MAX($A$6:B1562),"")</f>
        <v/>
      </c>
      <c r="B1554" s="126"/>
      <c r="C1554" s="120"/>
      <c r="D1554" s="183"/>
      <c r="E1554" s="172" t="s">
        <v>471</v>
      </c>
      <c r="F1554" s="123"/>
      <c r="G1554" s="124"/>
      <c r="H1554" s="125"/>
      <c r="I1554" s="126"/>
      <c r="J1554" s="37"/>
      <c r="K1554" s="159"/>
      <c r="L1554" s="160"/>
    </row>
    <row r="1555" spans="1:12" x14ac:dyDescent="0.2">
      <c r="A1555" s="129">
        <f ca="1">IF(F1555&lt;&gt;"",1+MAX($A$6:B1563),"")</f>
        <v>579</v>
      </c>
      <c r="B1555" s="126" t="s">
        <v>458</v>
      </c>
      <c r="C1555" s="120" t="s">
        <v>459</v>
      </c>
      <c r="D1555" s="120"/>
      <c r="E1555" s="122" t="s">
        <v>460</v>
      </c>
      <c r="F1555" s="123">
        <f>8*8*2/27</f>
        <v>4.7407407407407405</v>
      </c>
      <c r="G1555" s="184">
        <v>0.1</v>
      </c>
      <c r="H1555" s="125">
        <f t="shared" ref="H1555:H1560" si="183">F1555*(1+G1555)</f>
        <v>5.2148148148148152</v>
      </c>
      <c r="I1555" s="126" t="s">
        <v>461</v>
      </c>
      <c r="J1555" s="37">
        <f>$J$11</f>
        <v>0</v>
      </c>
      <c r="K1555" s="159">
        <f t="shared" ref="K1555:K1560" si="184">J1555*H1555</f>
        <v>0</v>
      </c>
      <c r="L1555" s="160"/>
    </row>
    <row r="1556" spans="1:12" x14ac:dyDescent="0.2">
      <c r="A1556" s="129">
        <f ca="1">IF(F1556&lt;&gt;"",1+MAX($A$6:B1564),"")</f>
        <v>580</v>
      </c>
      <c r="B1556" s="126" t="s">
        <v>458</v>
      </c>
      <c r="C1556" s="120" t="s">
        <v>459</v>
      </c>
      <c r="D1556" s="120"/>
      <c r="E1556" s="122" t="s">
        <v>462</v>
      </c>
      <c r="F1556" s="123">
        <f>4*8*2</f>
        <v>64</v>
      </c>
      <c r="G1556" s="184">
        <v>0.1</v>
      </c>
      <c r="H1556" s="125">
        <f t="shared" si="183"/>
        <v>70.400000000000006</v>
      </c>
      <c r="I1556" s="126" t="s">
        <v>463</v>
      </c>
      <c r="J1556" s="37">
        <f>$J$12</f>
        <v>0</v>
      </c>
      <c r="K1556" s="159">
        <f t="shared" si="184"/>
        <v>0</v>
      </c>
      <c r="L1556" s="160"/>
    </row>
    <row r="1557" spans="1:12" x14ac:dyDescent="0.2">
      <c r="A1557" s="129">
        <f ca="1">IF(F1557&lt;&gt;"",1+MAX($A$6:B1565),"")</f>
        <v>581</v>
      </c>
      <c r="B1557" s="126" t="s">
        <v>458</v>
      </c>
      <c r="C1557" s="120" t="s">
        <v>459</v>
      </c>
      <c r="D1557" s="120"/>
      <c r="E1557" s="122" t="s">
        <v>464</v>
      </c>
      <c r="F1557" s="123">
        <f>9*9*2/27</f>
        <v>6</v>
      </c>
      <c r="G1557" s="184">
        <v>0.1</v>
      </c>
      <c r="H1557" s="125">
        <f t="shared" si="183"/>
        <v>6.6000000000000005</v>
      </c>
      <c r="I1557" s="126" t="s">
        <v>461</v>
      </c>
      <c r="J1557" s="37">
        <f>$J$13</f>
        <v>0</v>
      </c>
      <c r="K1557" s="159">
        <f t="shared" si="184"/>
        <v>0</v>
      </c>
      <c r="L1557" s="160"/>
    </row>
    <row r="1558" spans="1:12" x14ac:dyDescent="0.2">
      <c r="A1558" s="129">
        <f ca="1">IF(F1558&lt;&gt;"",1+MAX($A$6:B1566),"")</f>
        <v>582</v>
      </c>
      <c r="B1558" s="126" t="s">
        <v>458</v>
      </c>
      <c r="C1558" s="120" t="s">
        <v>459</v>
      </c>
      <c r="D1558" s="120"/>
      <c r="E1558" s="122" t="s">
        <v>465</v>
      </c>
      <c r="F1558" s="123">
        <f>F1557-F1555</f>
        <v>1.2592592592592595</v>
      </c>
      <c r="G1558" s="184">
        <v>0.1</v>
      </c>
      <c r="H1558" s="125">
        <f t="shared" si="183"/>
        <v>1.3851851851851855</v>
      </c>
      <c r="I1558" s="126" t="s">
        <v>461</v>
      </c>
      <c r="J1558" s="37">
        <f>$J$14</f>
        <v>0</v>
      </c>
      <c r="K1558" s="159">
        <f t="shared" si="184"/>
        <v>0</v>
      </c>
      <c r="L1558" s="160"/>
    </row>
    <row r="1559" spans="1:12" x14ac:dyDescent="0.2">
      <c r="A1559" s="129">
        <f ca="1">IF(F1559&lt;&gt;"",1+MAX($A$6:B1567),"")</f>
        <v>583</v>
      </c>
      <c r="B1559" s="126" t="s">
        <v>458</v>
      </c>
      <c r="C1559" s="120" t="s">
        <v>459</v>
      </c>
      <c r="D1559" s="120"/>
      <c r="E1559" s="122" t="s">
        <v>472</v>
      </c>
      <c r="F1559" s="123">
        <f>7*8*0.668*1.2*2</f>
        <v>89.779200000000003</v>
      </c>
      <c r="G1559" s="184">
        <v>0.1</v>
      </c>
      <c r="H1559" s="125">
        <f t="shared" si="183"/>
        <v>98.757120000000015</v>
      </c>
      <c r="I1559" s="126" t="s">
        <v>292</v>
      </c>
      <c r="J1559" s="37">
        <f t="shared" ref="J1559:J1560" si="185">$J$15</f>
        <v>0</v>
      </c>
      <c r="K1559" s="159">
        <f t="shared" si="184"/>
        <v>0</v>
      </c>
      <c r="L1559" s="160"/>
    </row>
    <row r="1560" spans="1:12" x14ac:dyDescent="0.2">
      <c r="A1560" s="129">
        <f ca="1">IF(F1560&lt;&gt;"",1+MAX($A$6:B1568),"")</f>
        <v>584</v>
      </c>
      <c r="B1560" s="126" t="s">
        <v>458</v>
      </c>
      <c r="C1560" s="120" t="s">
        <v>459</v>
      </c>
      <c r="D1560" s="120"/>
      <c r="E1560" s="122" t="s">
        <v>473</v>
      </c>
      <c r="F1560" s="123">
        <f>7*8*2.67*1.2*2</f>
        <v>358.84799999999996</v>
      </c>
      <c r="G1560" s="184">
        <v>0.1</v>
      </c>
      <c r="H1560" s="125">
        <f t="shared" si="183"/>
        <v>394.7328</v>
      </c>
      <c r="I1560" s="126" t="s">
        <v>292</v>
      </c>
      <c r="J1560" s="37">
        <f t="shared" si="185"/>
        <v>0</v>
      </c>
      <c r="K1560" s="159">
        <f t="shared" si="184"/>
        <v>0</v>
      </c>
      <c r="L1560" s="160"/>
    </row>
    <row r="1561" spans="1:12" ht="78.75" x14ac:dyDescent="0.2">
      <c r="A1561" s="129" t="str">
        <f>IF(F1561&lt;&gt;"",1+MAX($A$6:B1569),"")</f>
        <v/>
      </c>
      <c r="B1561" s="126"/>
      <c r="C1561" s="120"/>
      <c r="D1561" s="183"/>
      <c r="E1561" s="172" t="s">
        <v>474</v>
      </c>
      <c r="F1561" s="123"/>
      <c r="G1561" s="124"/>
      <c r="H1561" s="125"/>
      <c r="I1561" s="126"/>
      <c r="J1561" s="37"/>
      <c r="K1561" s="159"/>
      <c r="L1561" s="160"/>
    </row>
    <row r="1562" spans="1:12" x14ac:dyDescent="0.2">
      <c r="A1562" s="129">
        <f ca="1">IF(F1562&lt;&gt;"",1+MAX($A$6:B1570),"")</f>
        <v>585</v>
      </c>
      <c r="B1562" s="126" t="s">
        <v>458</v>
      </c>
      <c r="C1562" s="120" t="s">
        <v>459</v>
      </c>
      <c r="D1562" s="120"/>
      <c r="E1562" s="122" t="s">
        <v>460</v>
      </c>
      <c r="F1562" s="123">
        <f>9*9*2/27</f>
        <v>6</v>
      </c>
      <c r="G1562" s="184">
        <v>0.1</v>
      </c>
      <c r="H1562" s="125">
        <f t="shared" ref="H1562:H1567" si="186">F1562*(1+G1562)</f>
        <v>6.6000000000000005</v>
      </c>
      <c r="I1562" s="126" t="s">
        <v>461</v>
      </c>
      <c r="J1562" s="37">
        <f>$J$11</f>
        <v>0</v>
      </c>
      <c r="K1562" s="159">
        <f t="shared" ref="K1562:K1567" si="187">J1562*H1562</f>
        <v>0</v>
      </c>
      <c r="L1562" s="160"/>
    </row>
    <row r="1563" spans="1:12" x14ac:dyDescent="0.2">
      <c r="A1563" s="129">
        <f ca="1">IF(F1563&lt;&gt;"",1+MAX($A$6:B1571),"")</f>
        <v>586</v>
      </c>
      <c r="B1563" s="126" t="s">
        <v>458</v>
      </c>
      <c r="C1563" s="120" t="s">
        <v>459</v>
      </c>
      <c r="D1563" s="120"/>
      <c r="E1563" s="122" t="s">
        <v>462</v>
      </c>
      <c r="F1563" s="123">
        <f>4*9*2</f>
        <v>72</v>
      </c>
      <c r="G1563" s="184">
        <v>0.1</v>
      </c>
      <c r="H1563" s="125">
        <f t="shared" si="186"/>
        <v>79.2</v>
      </c>
      <c r="I1563" s="126" t="s">
        <v>463</v>
      </c>
      <c r="J1563" s="37">
        <f>$J$12</f>
        <v>0</v>
      </c>
      <c r="K1563" s="159">
        <f t="shared" si="187"/>
        <v>0</v>
      </c>
      <c r="L1563" s="160"/>
    </row>
    <row r="1564" spans="1:12" x14ac:dyDescent="0.2">
      <c r="A1564" s="129">
        <f ca="1">IF(F1564&lt;&gt;"",1+MAX($A$6:B1572),"")</f>
        <v>587</v>
      </c>
      <c r="B1564" s="126" t="s">
        <v>458</v>
      </c>
      <c r="C1564" s="120" t="s">
        <v>459</v>
      </c>
      <c r="D1564" s="120"/>
      <c r="E1564" s="122" t="s">
        <v>464</v>
      </c>
      <c r="F1564" s="123">
        <f>10*10*2/27</f>
        <v>7.4074074074074074</v>
      </c>
      <c r="G1564" s="184">
        <v>0.1</v>
      </c>
      <c r="H1564" s="125">
        <f t="shared" si="186"/>
        <v>8.1481481481481488</v>
      </c>
      <c r="I1564" s="126" t="s">
        <v>461</v>
      </c>
      <c r="J1564" s="37">
        <f>$J$13</f>
        <v>0</v>
      </c>
      <c r="K1564" s="159">
        <f t="shared" si="187"/>
        <v>0</v>
      </c>
      <c r="L1564" s="160"/>
    </row>
    <row r="1565" spans="1:12" x14ac:dyDescent="0.2">
      <c r="A1565" s="129">
        <f ca="1">IF(F1565&lt;&gt;"",1+MAX($A$6:B1573),"")</f>
        <v>588</v>
      </c>
      <c r="B1565" s="126" t="s">
        <v>458</v>
      </c>
      <c r="C1565" s="120" t="s">
        <v>459</v>
      </c>
      <c r="D1565" s="120"/>
      <c r="E1565" s="122" t="s">
        <v>465</v>
      </c>
      <c r="F1565" s="123">
        <f>F1564-F1562</f>
        <v>1.4074074074074074</v>
      </c>
      <c r="G1565" s="184">
        <v>0.1</v>
      </c>
      <c r="H1565" s="125">
        <f t="shared" si="186"/>
        <v>1.5481481481481483</v>
      </c>
      <c r="I1565" s="126" t="s">
        <v>461</v>
      </c>
      <c r="J1565" s="37">
        <f>$J$14</f>
        <v>0</v>
      </c>
      <c r="K1565" s="159">
        <f t="shared" si="187"/>
        <v>0</v>
      </c>
      <c r="L1565" s="160"/>
    </row>
    <row r="1566" spans="1:12" x14ac:dyDescent="0.2">
      <c r="A1566" s="129">
        <f ca="1">IF(F1566&lt;&gt;"",1+MAX($A$6:B1574),"")</f>
        <v>589</v>
      </c>
      <c r="B1566" s="126" t="s">
        <v>458</v>
      </c>
      <c r="C1566" s="120" t="s">
        <v>459</v>
      </c>
      <c r="D1566" s="120"/>
      <c r="E1566" s="122" t="s">
        <v>472</v>
      </c>
      <c r="F1566" s="123">
        <f>7*9*0.668*1.2*2</f>
        <v>101.00160000000001</v>
      </c>
      <c r="G1566" s="184">
        <v>0.1</v>
      </c>
      <c r="H1566" s="125">
        <f t="shared" si="186"/>
        <v>111.10176000000003</v>
      </c>
      <c r="I1566" s="126" t="s">
        <v>292</v>
      </c>
      <c r="J1566" s="37">
        <f t="shared" ref="J1566:J1567" si="188">$J$15</f>
        <v>0</v>
      </c>
      <c r="K1566" s="159">
        <f t="shared" si="187"/>
        <v>0</v>
      </c>
      <c r="L1566" s="160"/>
    </row>
    <row r="1567" spans="1:12" x14ac:dyDescent="0.2">
      <c r="A1567" s="129">
        <f ca="1">IF(F1567&lt;&gt;"",1+MAX($A$6:B1575),"")</f>
        <v>590</v>
      </c>
      <c r="B1567" s="126" t="s">
        <v>458</v>
      </c>
      <c r="C1567" s="120" t="s">
        <v>459</v>
      </c>
      <c r="D1567" s="120"/>
      <c r="E1567" s="122" t="s">
        <v>475</v>
      </c>
      <c r="F1567" s="123">
        <f>7*9*2.67*1.2*2</f>
        <v>403.70400000000001</v>
      </c>
      <c r="G1567" s="184">
        <v>0.1</v>
      </c>
      <c r="H1567" s="125">
        <f t="shared" si="186"/>
        <v>444.07440000000003</v>
      </c>
      <c r="I1567" s="126" t="s">
        <v>292</v>
      </c>
      <c r="J1567" s="37">
        <f t="shared" si="188"/>
        <v>0</v>
      </c>
      <c r="K1567" s="159">
        <f t="shared" si="187"/>
        <v>0</v>
      </c>
      <c r="L1567" s="160"/>
    </row>
    <row r="1568" spans="1:12" ht="78.75" x14ac:dyDescent="0.2">
      <c r="A1568" s="129" t="str">
        <f>IF(F1568&lt;&gt;"",1+MAX($A$6:B1576),"")</f>
        <v/>
      </c>
      <c r="B1568" s="126"/>
      <c r="C1568" s="120"/>
      <c r="D1568" s="183"/>
      <c r="E1568" s="172" t="s">
        <v>476</v>
      </c>
      <c r="F1568" s="123"/>
      <c r="G1568" s="124"/>
      <c r="H1568" s="125"/>
      <c r="I1568" s="126"/>
      <c r="J1568" s="37"/>
      <c r="K1568" s="159"/>
      <c r="L1568" s="160"/>
    </row>
    <row r="1569" spans="1:12" x14ac:dyDescent="0.2">
      <c r="A1569" s="129">
        <f ca="1">IF(F1569&lt;&gt;"",1+MAX($A$6:B1577),"")</f>
        <v>591</v>
      </c>
      <c r="B1569" s="126" t="s">
        <v>458</v>
      </c>
      <c r="C1569" s="120" t="s">
        <v>459</v>
      </c>
      <c r="D1569" s="120"/>
      <c r="E1569" s="122" t="s">
        <v>460</v>
      </c>
      <c r="F1569" s="123">
        <f>9*9*2/27*6</f>
        <v>36</v>
      </c>
      <c r="G1569" s="184">
        <v>0.1</v>
      </c>
      <c r="H1569" s="125">
        <f t="shared" ref="H1569:H1574" si="189">F1569*(1+G1569)</f>
        <v>39.6</v>
      </c>
      <c r="I1569" s="126" t="s">
        <v>461</v>
      </c>
      <c r="J1569" s="37">
        <f>$J$11</f>
        <v>0</v>
      </c>
      <c r="K1569" s="159">
        <f t="shared" ref="K1569:K1574" si="190">J1569*H1569</f>
        <v>0</v>
      </c>
      <c r="L1569" s="160"/>
    </row>
    <row r="1570" spans="1:12" x14ac:dyDescent="0.2">
      <c r="A1570" s="129">
        <f ca="1">IF(F1570&lt;&gt;"",1+MAX($A$6:B1578),"")</f>
        <v>592</v>
      </c>
      <c r="B1570" s="126" t="s">
        <v>458</v>
      </c>
      <c r="C1570" s="120" t="s">
        <v>459</v>
      </c>
      <c r="D1570" s="120"/>
      <c r="E1570" s="122" t="s">
        <v>462</v>
      </c>
      <c r="F1570" s="123">
        <f>4*9*2*6</f>
        <v>432</v>
      </c>
      <c r="G1570" s="184">
        <v>0.1</v>
      </c>
      <c r="H1570" s="125">
        <f t="shared" si="189"/>
        <v>475.20000000000005</v>
      </c>
      <c r="I1570" s="126" t="s">
        <v>463</v>
      </c>
      <c r="J1570" s="37">
        <f>$J$12</f>
        <v>0</v>
      </c>
      <c r="K1570" s="159">
        <f t="shared" si="190"/>
        <v>0</v>
      </c>
      <c r="L1570" s="160"/>
    </row>
    <row r="1571" spans="1:12" x14ac:dyDescent="0.2">
      <c r="A1571" s="129">
        <f ca="1">IF(F1571&lt;&gt;"",1+MAX($A$6:B1579),"")</f>
        <v>593</v>
      </c>
      <c r="B1571" s="126" t="s">
        <v>458</v>
      </c>
      <c r="C1571" s="120" t="s">
        <v>459</v>
      </c>
      <c r="D1571" s="120"/>
      <c r="E1571" s="122" t="s">
        <v>464</v>
      </c>
      <c r="F1571" s="123">
        <f>10*10*2/27*6</f>
        <v>44.444444444444443</v>
      </c>
      <c r="G1571" s="184">
        <v>0.1</v>
      </c>
      <c r="H1571" s="125">
        <f t="shared" si="189"/>
        <v>48.888888888888893</v>
      </c>
      <c r="I1571" s="126" t="s">
        <v>461</v>
      </c>
      <c r="J1571" s="37">
        <f>$J$13</f>
        <v>0</v>
      </c>
      <c r="K1571" s="159">
        <f t="shared" si="190"/>
        <v>0</v>
      </c>
      <c r="L1571" s="160"/>
    </row>
    <row r="1572" spans="1:12" x14ac:dyDescent="0.2">
      <c r="A1572" s="129">
        <f ca="1">IF(F1572&lt;&gt;"",1+MAX($A$6:B1580),"")</f>
        <v>594</v>
      </c>
      <c r="B1572" s="126" t="s">
        <v>458</v>
      </c>
      <c r="C1572" s="120" t="s">
        <v>459</v>
      </c>
      <c r="D1572" s="120"/>
      <c r="E1572" s="122" t="s">
        <v>465</v>
      </c>
      <c r="F1572" s="123">
        <f>F1571-F1569</f>
        <v>8.4444444444444429</v>
      </c>
      <c r="G1572" s="184">
        <v>0.1</v>
      </c>
      <c r="H1572" s="125">
        <f t="shared" si="189"/>
        <v>9.2888888888888879</v>
      </c>
      <c r="I1572" s="126" t="s">
        <v>461</v>
      </c>
      <c r="J1572" s="37">
        <f>$J$14</f>
        <v>0</v>
      </c>
      <c r="K1572" s="159">
        <f t="shared" si="190"/>
        <v>0</v>
      </c>
      <c r="L1572" s="160"/>
    </row>
    <row r="1573" spans="1:12" x14ac:dyDescent="0.2">
      <c r="A1573" s="129">
        <f ca="1">IF(F1573&lt;&gt;"",1+MAX($A$6:B1581),"")</f>
        <v>595</v>
      </c>
      <c r="B1573" s="126" t="s">
        <v>458</v>
      </c>
      <c r="C1573" s="120" t="s">
        <v>459</v>
      </c>
      <c r="D1573" s="120"/>
      <c r="E1573" s="122" t="s">
        <v>472</v>
      </c>
      <c r="F1573" s="123">
        <f>7*9*0.668*1.2*2*6</f>
        <v>606.00960000000009</v>
      </c>
      <c r="G1573" s="184">
        <v>0.1</v>
      </c>
      <c r="H1573" s="125">
        <f t="shared" si="189"/>
        <v>666.61056000000019</v>
      </c>
      <c r="I1573" s="126" t="s">
        <v>292</v>
      </c>
      <c r="J1573" s="37">
        <f t="shared" ref="J1573:J1574" si="191">$J$15</f>
        <v>0</v>
      </c>
      <c r="K1573" s="159">
        <f t="shared" si="190"/>
        <v>0</v>
      </c>
      <c r="L1573" s="160"/>
    </row>
    <row r="1574" spans="1:12" x14ac:dyDescent="0.2">
      <c r="A1574" s="129">
        <f ca="1">IF(F1574&lt;&gt;"",1+MAX($A$6:B1582),"")</f>
        <v>596</v>
      </c>
      <c r="B1574" s="126" t="s">
        <v>458</v>
      </c>
      <c r="C1574" s="120" t="s">
        <v>459</v>
      </c>
      <c r="D1574" s="120"/>
      <c r="E1574" s="122" t="s">
        <v>475</v>
      </c>
      <c r="F1574" s="123">
        <f>7*9*2.67*1.2*2*6</f>
        <v>2422.2240000000002</v>
      </c>
      <c r="G1574" s="184">
        <v>0.1</v>
      </c>
      <c r="H1574" s="125">
        <f t="shared" si="189"/>
        <v>2664.4464000000003</v>
      </c>
      <c r="I1574" s="126" t="s">
        <v>292</v>
      </c>
      <c r="J1574" s="37">
        <f t="shared" si="191"/>
        <v>0</v>
      </c>
      <c r="K1574" s="159">
        <f t="shared" si="190"/>
        <v>0</v>
      </c>
      <c r="L1574" s="160"/>
    </row>
    <row r="1575" spans="1:12" ht="78.75" x14ac:dyDescent="0.2">
      <c r="A1575" s="129" t="str">
        <f>IF(F1575&lt;&gt;"",1+MAX($A$6:B1583),"")</f>
        <v/>
      </c>
      <c r="B1575" s="126"/>
      <c r="C1575" s="120"/>
      <c r="D1575" s="183"/>
      <c r="E1575" s="172" t="s">
        <v>477</v>
      </c>
      <c r="F1575" s="123"/>
      <c r="G1575" s="124"/>
      <c r="H1575" s="125"/>
      <c r="I1575" s="126"/>
      <c r="J1575" s="37"/>
      <c r="K1575" s="159"/>
      <c r="L1575" s="160"/>
    </row>
    <row r="1576" spans="1:12" x14ac:dyDescent="0.2">
      <c r="A1576" s="129">
        <f ca="1">IF(F1576&lt;&gt;"",1+MAX($A$6:B1584),"")</f>
        <v>597</v>
      </c>
      <c r="B1576" s="126" t="s">
        <v>458</v>
      </c>
      <c r="C1576" s="120" t="s">
        <v>459</v>
      </c>
      <c r="D1576" s="120"/>
      <c r="E1576" s="122" t="s">
        <v>460</v>
      </c>
      <c r="F1576" s="123">
        <f>10*10*2*13/27</f>
        <v>96.296296296296291</v>
      </c>
      <c r="G1576" s="184">
        <v>0.1</v>
      </c>
      <c r="H1576" s="125">
        <f t="shared" ref="H1576:H1581" si="192">F1576*(1+G1576)</f>
        <v>105.92592592592592</v>
      </c>
      <c r="I1576" s="126" t="s">
        <v>461</v>
      </c>
      <c r="J1576" s="37">
        <f>$J$11</f>
        <v>0</v>
      </c>
      <c r="K1576" s="159">
        <f t="shared" ref="K1576:K1581" si="193">J1576*H1576</f>
        <v>0</v>
      </c>
      <c r="L1576" s="160"/>
    </row>
    <row r="1577" spans="1:12" x14ac:dyDescent="0.2">
      <c r="A1577" s="129">
        <f ca="1">IF(F1577&lt;&gt;"",1+MAX($A$6:B1585),"")</f>
        <v>598</v>
      </c>
      <c r="B1577" s="126" t="s">
        <v>458</v>
      </c>
      <c r="C1577" s="120" t="s">
        <v>459</v>
      </c>
      <c r="D1577" s="120"/>
      <c r="E1577" s="122" t="s">
        <v>462</v>
      </c>
      <c r="F1577" s="123">
        <f>4*10*2*13</f>
        <v>1040</v>
      </c>
      <c r="G1577" s="184">
        <v>0.1</v>
      </c>
      <c r="H1577" s="125">
        <f t="shared" si="192"/>
        <v>1144</v>
      </c>
      <c r="I1577" s="126" t="s">
        <v>463</v>
      </c>
      <c r="J1577" s="37">
        <f>$J$12</f>
        <v>0</v>
      </c>
      <c r="K1577" s="159">
        <f t="shared" si="193"/>
        <v>0</v>
      </c>
      <c r="L1577" s="160"/>
    </row>
    <row r="1578" spans="1:12" x14ac:dyDescent="0.2">
      <c r="A1578" s="129">
        <f ca="1">IF(F1578&lt;&gt;"",1+MAX($A$6:B1586),"")</f>
        <v>599</v>
      </c>
      <c r="B1578" s="126" t="s">
        <v>458</v>
      </c>
      <c r="C1578" s="120" t="s">
        <v>459</v>
      </c>
      <c r="D1578" s="120"/>
      <c r="E1578" s="122" t="s">
        <v>464</v>
      </c>
      <c r="F1578" s="123">
        <f>11*11*2*13/27</f>
        <v>116.51851851851852</v>
      </c>
      <c r="G1578" s="184">
        <v>0.1</v>
      </c>
      <c r="H1578" s="125">
        <f t="shared" si="192"/>
        <v>128.17037037037039</v>
      </c>
      <c r="I1578" s="126" t="s">
        <v>461</v>
      </c>
      <c r="J1578" s="37">
        <f>$J$13</f>
        <v>0</v>
      </c>
      <c r="K1578" s="159">
        <f t="shared" si="193"/>
        <v>0</v>
      </c>
      <c r="L1578" s="160"/>
    </row>
    <row r="1579" spans="1:12" x14ac:dyDescent="0.2">
      <c r="A1579" s="129">
        <f ca="1">IF(F1579&lt;&gt;"",1+MAX($A$6:B1587),"")</f>
        <v>600</v>
      </c>
      <c r="B1579" s="126" t="s">
        <v>458</v>
      </c>
      <c r="C1579" s="120" t="s">
        <v>459</v>
      </c>
      <c r="D1579" s="120"/>
      <c r="E1579" s="122" t="s">
        <v>465</v>
      </c>
      <c r="F1579" s="123">
        <f>F1578-F1576</f>
        <v>20.222222222222229</v>
      </c>
      <c r="G1579" s="184">
        <v>0.1</v>
      </c>
      <c r="H1579" s="125">
        <f t="shared" si="192"/>
        <v>22.244444444444454</v>
      </c>
      <c r="I1579" s="126" t="s">
        <v>461</v>
      </c>
      <c r="J1579" s="37">
        <f>$J$14</f>
        <v>0</v>
      </c>
      <c r="K1579" s="159">
        <f t="shared" si="193"/>
        <v>0</v>
      </c>
      <c r="L1579" s="160"/>
    </row>
    <row r="1580" spans="1:12" x14ac:dyDescent="0.2">
      <c r="A1580" s="129">
        <f ca="1">IF(F1580&lt;&gt;"",1+MAX($A$6:B1588),"")</f>
        <v>601</v>
      </c>
      <c r="B1580" s="126" t="s">
        <v>458</v>
      </c>
      <c r="C1580" s="120" t="s">
        <v>459</v>
      </c>
      <c r="D1580" s="120"/>
      <c r="E1580" s="122" t="s">
        <v>478</v>
      </c>
      <c r="F1580" s="123">
        <f>9*10*0.668*1.2*2*13</f>
        <v>1875.7440000000001</v>
      </c>
      <c r="G1580" s="184">
        <v>0.1</v>
      </c>
      <c r="H1580" s="125">
        <f t="shared" si="192"/>
        <v>2063.3184000000001</v>
      </c>
      <c r="I1580" s="126" t="s">
        <v>292</v>
      </c>
      <c r="J1580" s="37">
        <f t="shared" ref="J1580:J1581" si="194">$J$15</f>
        <v>0</v>
      </c>
      <c r="K1580" s="159">
        <f t="shared" si="193"/>
        <v>0</v>
      </c>
      <c r="L1580" s="160"/>
    </row>
    <row r="1581" spans="1:12" x14ac:dyDescent="0.2">
      <c r="A1581" s="129">
        <f ca="1">IF(F1581&lt;&gt;"",1+MAX($A$6:B1589),"")</f>
        <v>602</v>
      </c>
      <c r="B1581" s="126" t="s">
        <v>458</v>
      </c>
      <c r="C1581" s="120" t="s">
        <v>459</v>
      </c>
      <c r="D1581" s="120"/>
      <c r="E1581" s="122" t="s">
        <v>479</v>
      </c>
      <c r="F1581" s="123">
        <f>9*10*2.67*1.2*2*13</f>
        <v>7497.3599999999988</v>
      </c>
      <c r="G1581" s="184">
        <v>0.1</v>
      </c>
      <c r="H1581" s="125">
        <f t="shared" si="192"/>
        <v>8247.0959999999995</v>
      </c>
      <c r="I1581" s="126" t="s">
        <v>292</v>
      </c>
      <c r="J1581" s="37">
        <f t="shared" si="194"/>
        <v>0</v>
      </c>
      <c r="K1581" s="159">
        <f t="shared" si="193"/>
        <v>0</v>
      </c>
      <c r="L1581" s="160"/>
    </row>
    <row r="1582" spans="1:12" ht="78.75" x14ac:dyDescent="0.2">
      <c r="A1582" s="129" t="str">
        <f>IF(F1582&lt;&gt;"",1+MAX($A$6:B1590),"")</f>
        <v/>
      </c>
      <c r="B1582" s="126"/>
      <c r="C1582" s="120"/>
      <c r="D1582" s="183"/>
      <c r="E1582" s="172" t="s">
        <v>480</v>
      </c>
      <c r="F1582" s="123"/>
      <c r="G1582" s="124"/>
      <c r="H1582" s="125"/>
      <c r="I1582" s="126"/>
      <c r="J1582" s="37"/>
      <c r="K1582" s="159"/>
      <c r="L1582" s="160"/>
    </row>
    <row r="1583" spans="1:12" x14ac:dyDescent="0.2">
      <c r="A1583" s="129">
        <f ca="1">IF(F1583&lt;&gt;"",1+MAX($A$6:B1591),"")</f>
        <v>603</v>
      </c>
      <c r="B1583" s="126" t="s">
        <v>458</v>
      </c>
      <c r="C1583" s="120" t="s">
        <v>459</v>
      </c>
      <c r="D1583" s="120"/>
      <c r="E1583" s="122" t="s">
        <v>460</v>
      </c>
      <c r="F1583" s="123">
        <f>11*11*2*4/27</f>
        <v>35.851851851851855</v>
      </c>
      <c r="G1583" s="184">
        <v>0.1</v>
      </c>
      <c r="H1583" s="125">
        <f t="shared" ref="H1583:H1858" si="195">F1583*(1+G1583)</f>
        <v>39.437037037037044</v>
      </c>
      <c r="I1583" s="126" t="s">
        <v>461</v>
      </c>
      <c r="J1583" s="37">
        <f>$J$11</f>
        <v>0</v>
      </c>
      <c r="K1583" s="159">
        <f t="shared" ref="K1583:K1858" si="196">J1583*H1583</f>
        <v>0</v>
      </c>
      <c r="L1583" s="160"/>
    </row>
    <row r="1584" spans="1:12" x14ac:dyDescent="0.2">
      <c r="A1584" s="129">
        <f ca="1">IF(F1584&lt;&gt;"",1+MAX($A$6:B1592),"")</f>
        <v>604</v>
      </c>
      <c r="B1584" s="126" t="s">
        <v>458</v>
      </c>
      <c r="C1584" s="120" t="s">
        <v>459</v>
      </c>
      <c r="D1584" s="120"/>
      <c r="E1584" s="122" t="s">
        <v>462</v>
      </c>
      <c r="F1584" s="123">
        <f>4*11*2*4</f>
        <v>352</v>
      </c>
      <c r="G1584" s="184">
        <v>0.1</v>
      </c>
      <c r="H1584" s="125">
        <f t="shared" si="195"/>
        <v>387.20000000000005</v>
      </c>
      <c r="I1584" s="126" t="s">
        <v>463</v>
      </c>
      <c r="J1584" s="37">
        <f>$J$12</f>
        <v>0</v>
      </c>
      <c r="K1584" s="159">
        <f t="shared" si="196"/>
        <v>0</v>
      </c>
      <c r="L1584" s="160"/>
    </row>
    <row r="1585" spans="1:12" x14ac:dyDescent="0.2">
      <c r="A1585" s="129">
        <f ca="1">IF(F1585&lt;&gt;"",1+MAX($A$6:B1593),"")</f>
        <v>605</v>
      </c>
      <c r="B1585" s="126" t="s">
        <v>458</v>
      </c>
      <c r="C1585" s="120" t="s">
        <v>459</v>
      </c>
      <c r="D1585" s="120"/>
      <c r="E1585" s="122" t="s">
        <v>464</v>
      </c>
      <c r="F1585" s="123">
        <f>12*12*2*4/27</f>
        <v>42.666666666666664</v>
      </c>
      <c r="G1585" s="184">
        <v>0.1</v>
      </c>
      <c r="H1585" s="125">
        <f t="shared" si="195"/>
        <v>46.933333333333337</v>
      </c>
      <c r="I1585" s="126" t="s">
        <v>461</v>
      </c>
      <c r="J1585" s="37">
        <f>$J$13</f>
        <v>0</v>
      </c>
      <c r="K1585" s="159">
        <f t="shared" si="196"/>
        <v>0</v>
      </c>
      <c r="L1585" s="160"/>
    </row>
    <row r="1586" spans="1:12" x14ac:dyDescent="0.2">
      <c r="A1586" s="129">
        <f ca="1">IF(F1586&lt;&gt;"",1+MAX($A$6:B1594),"")</f>
        <v>606</v>
      </c>
      <c r="B1586" s="126" t="s">
        <v>458</v>
      </c>
      <c r="C1586" s="120" t="s">
        <v>459</v>
      </c>
      <c r="D1586" s="120"/>
      <c r="E1586" s="122" t="s">
        <v>465</v>
      </c>
      <c r="F1586" s="123">
        <f>F1585-F1583</f>
        <v>6.8148148148148096</v>
      </c>
      <c r="G1586" s="184">
        <v>0.1</v>
      </c>
      <c r="H1586" s="125">
        <f t="shared" si="195"/>
        <v>7.4962962962962907</v>
      </c>
      <c r="I1586" s="126" t="s">
        <v>461</v>
      </c>
      <c r="J1586" s="37">
        <f>$J$14</f>
        <v>0</v>
      </c>
      <c r="K1586" s="159">
        <f t="shared" si="196"/>
        <v>0</v>
      </c>
      <c r="L1586" s="160"/>
    </row>
    <row r="1587" spans="1:12" x14ac:dyDescent="0.2">
      <c r="A1587" s="129">
        <f ca="1">IF(F1587&lt;&gt;"",1+MAX($A$6:B1595),"")</f>
        <v>607</v>
      </c>
      <c r="B1587" s="126" t="s">
        <v>458</v>
      </c>
      <c r="C1587" s="120" t="s">
        <v>459</v>
      </c>
      <c r="D1587" s="120"/>
      <c r="E1587" s="122" t="s">
        <v>478</v>
      </c>
      <c r="F1587" s="123">
        <f>9*11*0.668*1.2*2*4</f>
        <v>634.86720000000003</v>
      </c>
      <c r="G1587" s="184">
        <v>0.1</v>
      </c>
      <c r="H1587" s="125">
        <f t="shared" si="195"/>
        <v>698.35392000000013</v>
      </c>
      <c r="I1587" s="126" t="s">
        <v>292</v>
      </c>
      <c r="J1587" s="37">
        <f t="shared" ref="J1587:J1588" si="197">$J$15</f>
        <v>0</v>
      </c>
      <c r="K1587" s="159">
        <f t="shared" si="196"/>
        <v>0</v>
      </c>
      <c r="L1587" s="160"/>
    </row>
    <row r="1588" spans="1:12" x14ac:dyDescent="0.2">
      <c r="A1588" s="129">
        <f ca="1">IF(F1588&lt;&gt;"",1+MAX($A$6:B1596),"")</f>
        <v>608</v>
      </c>
      <c r="B1588" s="126" t="s">
        <v>458</v>
      </c>
      <c r="C1588" s="120" t="s">
        <v>459</v>
      </c>
      <c r="D1588" s="120"/>
      <c r="E1588" s="122" t="s">
        <v>481</v>
      </c>
      <c r="F1588" s="123">
        <f>9*11*3.4*1.2*2*4</f>
        <v>3231.3599999999997</v>
      </c>
      <c r="G1588" s="184">
        <v>0.1</v>
      </c>
      <c r="H1588" s="125">
        <f t="shared" si="195"/>
        <v>3554.4960000000001</v>
      </c>
      <c r="I1588" s="126" t="s">
        <v>292</v>
      </c>
      <c r="J1588" s="37">
        <f t="shared" si="197"/>
        <v>0</v>
      </c>
      <c r="K1588" s="159">
        <f t="shared" si="196"/>
        <v>0</v>
      </c>
      <c r="L1588" s="160"/>
    </row>
    <row r="1589" spans="1:12" x14ac:dyDescent="0.2">
      <c r="A1589" s="129" t="str">
        <f>IF(F1589&lt;&gt;"",1+MAX($A$6:B1597),"")</f>
        <v/>
      </c>
      <c r="B1589" s="126"/>
      <c r="C1589" s="120"/>
      <c r="D1589" s="120"/>
      <c r="E1589" s="122"/>
      <c r="F1589" s="123"/>
      <c r="G1589" s="184"/>
      <c r="H1589" s="125"/>
      <c r="I1589" s="126"/>
      <c r="J1589" s="37"/>
      <c r="K1589" s="159"/>
      <c r="L1589" s="160"/>
    </row>
    <row r="1590" spans="1:12" x14ac:dyDescent="0.2">
      <c r="A1590" s="129" t="str">
        <f>IF(F1590&lt;&gt;"",1+MAX($A$6:B1598),"")</f>
        <v/>
      </c>
      <c r="B1590" s="126"/>
      <c r="C1590" s="120"/>
      <c r="D1590" s="120"/>
      <c r="E1590" s="172" t="s">
        <v>482</v>
      </c>
      <c r="F1590" s="123"/>
      <c r="G1590" s="184"/>
      <c r="H1590" s="125"/>
      <c r="I1590" s="126"/>
      <c r="J1590" s="23"/>
      <c r="K1590" s="207"/>
      <c r="L1590" s="160"/>
    </row>
    <row r="1591" spans="1:12" ht="63" x14ac:dyDescent="0.2">
      <c r="A1591" s="129" t="str">
        <f>IF(F1591&lt;&gt;"",1+MAX($A$6:B1599),"")</f>
        <v/>
      </c>
      <c r="B1591" s="126"/>
      <c r="C1591" s="120"/>
      <c r="D1591" s="183"/>
      <c r="E1591" s="172" t="s">
        <v>483</v>
      </c>
      <c r="F1591" s="123"/>
      <c r="G1591" s="124"/>
      <c r="H1591" s="125"/>
      <c r="I1591" s="126"/>
      <c r="J1591" s="37"/>
      <c r="K1591" s="159"/>
      <c r="L1591" s="160"/>
    </row>
    <row r="1592" spans="1:12" x14ac:dyDescent="0.2">
      <c r="A1592" s="129">
        <f ca="1">IF(F1592&lt;&gt;"",1+MAX($A$6:B1600),"")</f>
        <v>609</v>
      </c>
      <c r="B1592" s="126" t="s">
        <v>458</v>
      </c>
      <c r="C1592" s="120" t="s">
        <v>484</v>
      </c>
      <c r="D1592" s="120"/>
      <c r="E1592" s="122" t="s">
        <v>460</v>
      </c>
      <c r="F1592" s="123">
        <f>76*3*1.25/27</f>
        <v>10.555555555555555</v>
      </c>
      <c r="G1592" s="184">
        <v>0.1</v>
      </c>
      <c r="H1592" s="125">
        <f t="shared" ref="H1592:H1597" si="198">F1592*(1+G1592)</f>
        <v>11.611111111111112</v>
      </c>
      <c r="I1592" s="126" t="s">
        <v>461</v>
      </c>
      <c r="J1592" s="37">
        <f>$J$11</f>
        <v>0</v>
      </c>
      <c r="K1592" s="159">
        <f t="shared" ref="K1592:K1597" si="199">J1592*H1592</f>
        <v>0</v>
      </c>
      <c r="L1592" s="160"/>
    </row>
    <row r="1593" spans="1:12" x14ac:dyDescent="0.2">
      <c r="A1593" s="129">
        <f ca="1">IF(F1593&lt;&gt;"",1+MAX($A$6:B1601),"")</f>
        <v>610</v>
      </c>
      <c r="B1593" s="126" t="s">
        <v>458</v>
      </c>
      <c r="C1593" s="120" t="s">
        <v>484</v>
      </c>
      <c r="D1593" s="120"/>
      <c r="E1593" s="122" t="s">
        <v>485</v>
      </c>
      <c r="F1593" s="123">
        <f>76*1.25*2</f>
        <v>190</v>
      </c>
      <c r="G1593" s="184">
        <v>0.1</v>
      </c>
      <c r="H1593" s="125">
        <f t="shared" si="198"/>
        <v>209.00000000000003</v>
      </c>
      <c r="I1593" s="126" t="s">
        <v>463</v>
      </c>
      <c r="J1593" s="37">
        <v>0</v>
      </c>
      <c r="K1593" s="159">
        <f t="shared" si="199"/>
        <v>0</v>
      </c>
      <c r="L1593" s="160"/>
    </row>
    <row r="1594" spans="1:12" x14ac:dyDescent="0.2">
      <c r="A1594" s="129">
        <f ca="1">IF(F1594&lt;&gt;"",1+MAX($A$6:B1602),"")</f>
        <v>611</v>
      </c>
      <c r="B1594" s="126" t="s">
        <v>458</v>
      </c>
      <c r="C1594" s="120" t="s">
        <v>484</v>
      </c>
      <c r="D1594" s="120"/>
      <c r="E1594" s="122" t="s">
        <v>464</v>
      </c>
      <c r="F1594" s="123">
        <f>76*4*2/27</f>
        <v>22.518518518518519</v>
      </c>
      <c r="G1594" s="184">
        <v>0.1</v>
      </c>
      <c r="H1594" s="125">
        <f t="shared" si="198"/>
        <v>24.770370370370372</v>
      </c>
      <c r="I1594" s="126" t="s">
        <v>461</v>
      </c>
      <c r="J1594" s="37">
        <f>$J$13</f>
        <v>0</v>
      </c>
      <c r="K1594" s="159">
        <f t="shared" si="199"/>
        <v>0</v>
      </c>
      <c r="L1594" s="160"/>
    </row>
    <row r="1595" spans="1:12" x14ac:dyDescent="0.2">
      <c r="A1595" s="129">
        <f ca="1">IF(F1595&lt;&gt;"",1+MAX($A$6:B1603),"")</f>
        <v>612</v>
      </c>
      <c r="B1595" s="126" t="s">
        <v>458</v>
      </c>
      <c r="C1595" s="120" t="s">
        <v>484</v>
      </c>
      <c r="D1595" s="120"/>
      <c r="E1595" s="122" t="s">
        <v>465</v>
      </c>
      <c r="F1595" s="123">
        <f>F1594-F1592</f>
        <v>11.962962962962964</v>
      </c>
      <c r="G1595" s="184">
        <v>0.1</v>
      </c>
      <c r="H1595" s="125">
        <f t="shared" si="198"/>
        <v>13.159259259259262</v>
      </c>
      <c r="I1595" s="126" t="s">
        <v>461</v>
      </c>
      <c r="J1595" s="37">
        <f>$J$14</f>
        <v>0</v>
      </c>
      <c r="K1595" s="159">
        <f t="shared" si="199"/>
        <v>0</v>
      </c>
      <c r="L1595" s="160"/>
    </row>
    <row r="1596" spans="1:12" x14ac:dyDescent="0.2">
      <c r="A1596" s="129">
        <f ca="1">IF(F1596&lt;&gt;"",1+MAX($A$6:B1604),"")</f>
        <v>613</v>
      </c>
      <c r="B1596" s="126" t="s">
        <v>458</v>
      </c>
      <c r="C1596" s="120" t="s">
        <v>484</v>
      </c>
      <c r="D1596" s="120"/>
      <c r="E1596" s="122" t="s">
        <v>486</v>
      </c>
      <c r="F1596" s="123">
        <f>4*76*1.043*1.2</f>
        <v>380.4864</v>
      </c>
      <c r="G1596" s="184">
        <v>0.1</v>
      </c>
      <c r="H1596" s="125">
        <f t="shared" si="198"/>
        <v>418.53504000000004</v>
      </c>
      <c r="I1596" s="126" t="s">
        <v>292</v>
      </c>
      <c r="J1596" s="37">
        <f t="shared" ref="J1596:J1597" si="200">$J$15</f>
        <v>0</v>
      </c>
      <c r="K1596" s="159">
        <f t="shared" si="199"/>
        <v>0</v>
      </c>
      <c r="L1596" s="160"/>
    </row>
    <row r="1597" spans="1:12" x14ac:dyDescent="0.2">
      <c r="A1597" s="129">
        <f ca="1">IF(F1597&lt;&gt;"",1+MAX($A$6:B1605),"")</f>
        <v>614</v>
      </c>
      <c r="B1597" s="126" t="s">
        <v>458</v>
      </c>
      <c r="C1597" s="120" t="s">
        <v>484</v>
      </c>
      <c r="D1597" s="120"/>
      <c r="E1597" s="122" t="s">
        <v>487</v>
      </c>
      <c r="F1597" s="123">
        <f>76/1*3*1.5*1.2</f>
        <v>410.4</v>
      </c>
      <c r="G1597" s="184">
        <v>0.1</v>
      </c>
      <c r="H1597" s="125">
        <f t="shared" si="198"/>
        <v>451.44</v>
      </c>
      <c r="I1597" s="126" t="s">
        <v>292</v>
      </c>
      <c r="J1597" s="37">
        <f t="shared" si="200"/>
        <v>0</v>
      </c>
      <c r="K1597" s="159">
        <f t="shared" si="199"/>
        <v>0</v>
      </c>
      <c r="L1597" s="160"/>
    </row>
    <row r="1598" spans="1:12" ht="63" x14ac:dyDescent="0.2">
      <c r="A1598" s="129" t="str">
        <f>IF(F1598&lt;&gt;"",1+MAX($A$6:B1606),"")</f>
        <v/>
      </c>
      <c r="B1598" s="126"/>
      <c r="C1598" s="120"/>
      <c r="D1598" s="183"/>
      <c r="E1598" s="172" t="s">
        <v>488</v>
      </c>
      <c r="F1598" s="123"/>
      <c r="G1598" s="124"/>
      <c r="H1598" s="125"/>
      <c r="I1598" s="126"/>
      <c r="J1598" s="37"/>
      <c r="K1598" s="159"/>
      <c r="L1598" s="160"/>
    </row>
    <row r="1599" spans="1:12" x14ac:dyDescent="0.2">
      <c r="A1599" s="129">
        <f ca="1">IF(F1599&lt;&gt;"",1+MAX($A$6:B1607),"")</f>
        <v>615</v>
      </c>
      <c r="B1599" s="126" t="s">
        <v>458</v>
      </c>
      <c r="C1599" s="120" t="s">
        <v>489</v>
      </c>
      <c r="D1599" s="120"/>
      <c r="E1599" s="122" t="s">
        <v>460</v>
      </c>
      <c r="F1599" s="123">
        <f>125*4*1.25/27</f>
        <v>23.148148148148149</v>
      </c>
      <c r="G1599" s="184">
        <v>0.1</v>
      </c>
      <c r="H1599" s="125">
        <f t="shared" ref="H1599:H1604" si="201">F1599*(1+G1599)</f>
        <v>25.462962962962965</v>
      </c>
      <c r="I1599" s="126" t="s">
        <v>461</v>
      </c>
      <c r="J1599" s="37">
        <f>$J$11</f>
        <v>0</v>
      </c>
      <c r="K1599" s="159">
        <f t="shared" ref="K1599:K1604" si="202">J1599*H1599</f>
        <v>0</v>
      </c>
      <c r="L1599" s="160"/>
    </row>
    <row r="1600" spans="1:12" x14ac:dyDescent="0.2">
      <c r="A1600" s="129">
        <f ca="1">IF(F1600&lt;&gt;"",1+MAX($A$6:B1608),"")</f>
        <v>616</v>
      </c>
      <c r="B1600" s="126" t="s">
        <v>458</v>
      </c>
      <c r="C1600" s="120" t="s">
        <v>489</v>
      </c>
      <c r="D1600" s="120"/>
      <c r="E1600" s="122" t="s">
        <v>485</v>
      </c>
      <c r="F1600" s="123">
        <f>125*1.25*2</f>
        <v>312.5</v>
      </c>
      <c r="G1600" s="184">
        <v>0.1</v>
      </c>
      <c r="H1600" s="125">
        <f t="shared" si="201"/>
        <v>343.75</v>
      </c>
      <c r="I1600" s="126" t="s">
        <v>463</v>
      </c>
      <c r="J1600" s="37">
        <f>K$70</f>
        <v>0</v>
      </c>
      <c r="K1600" s="159">
        <f t="shared" si="202"/>
        <v>0</v>
      </c>
      <c r="L1600" s="160"/>
    </row>
    <row r="1601" spans="1:12" x14ac:dyDescent="0.2">
      <c r="A1601" s="129">
        <f ca="1">IF(F1601&lt;&gt;"",1+MAX($A$6:B1609),"")</f>
        <v>617</v>
      </c>
      <c r="B1601" s="126" t="s">
        <v>458</v>
      </c>
      <c r="C1601" s="120" t="s">
        <v>489</v>
      </c>
      <c r="D1601" s="120"/>
      <c r="E1601" s="122" t="s">
        <v>464</v>
      </c>
      <c r="F1601" s="123">
        <f>125*5*2/27</f>
        <v>46.296296296296298</v>
      </c>
      <c r="G1601" s="184">
        <v>0.1</v>
      </c>
      <c r="H1601" s="125">
        <f t="shared" si="201"/>
        <v>50.925925925925931</v>
      </c>
      <c r="I1601" s="126" t="s">
        <v>461</v>
      </c>
      <c r="J1601" s="37">
        <f>$J$13</f>
        <v>0</v>
      </c>
      <c r="K1601" s="159">
        <f t="shared" si="202"/>
        <v>0</v>
      </c>
      <c r="L1601" s="160"/>
    </row>
    <row r="1602" spans="1:12" x14ac:dyDescent="0.2">
      <c r="A1602" s="129">
        <f ca="1">IF(F1602&lt;&gt;"",1+MAX($A$6:B1610),"")</f>
        <v>618</v>
      </c>
      <c r="B1602" s="126" t="s">
        <v>458</v>
      </c>
      <c r="C1602" s="120" t="s">
        <v>489</v>
      </c>
      <c r="D1602" s="120"/>
      <c r="E1602" s="122" t="s">
        <v>465</v>
      </c>
      <c r="F1602" s="123">
        <f>F1601-F1599</f>
        <v>23.148148148148149</v>
      </c>
      <c r="G1602" s="184">
        <v>0.1</v>
      </c>
      <c r="H1602" s="125">
        <f t="shared" si="201"/>
        <v>25.462962962962965</v>
      </c>
      <c r="I1602" s="126" t="s">
        <v>461</v>
      </c>
      <c r="J1602" s="37">
        <f>$J$14</f>
        <v>0</v>
      </c>
      <c r="K1602" s="159">
        <f t="shared" si="202"/>
        <v>0</v>
      </c>
      <c r="L1602" s="160"/>
    </row>
    <row r="1603" spans="1:12" x14ac:dyDescent="0.2">
      <c r="A1603" s="129">
        <f ca="1">IF(F1603&lt;&gt;"",1+MAX($A$6:B1611),"")</f>
        <v>619</v>
      </c>
      <c r="B1603" s="126" t="s">
        <v>458</v>
      </c>
      <c r="C1603" s="120" t="s">
        <v>489</v>
      </c>
      <c r="D1603" s="120"/>
      <c r="E1603" s="122" t="s">
        <v>490</v>
      </c>
      <c r="F1603" s="123">
        <f>5*125*1.043*1.2</f>
        <v>782.25</v>
      </c>
      <c r="G1603" s="184">
        <v>0.1</v>
      </c>
      <c r="H1603" s="125">
        <f t="shared" si="201"/>
        <v>860.47500000000002</v>
      </c>
      <c r="I1603" s="126" t="s">
        <v>292</v>
      </c>
      <c r="J1603" s="37">
        <f t="shared" ref="J1603:J1604" si="203">$J$15</f>
        <v>0</v>
      </c>
      <c r="K1603" s="159">
        <f t="shared" si="202"/>
        <v>0</v>
      </c>
      <c r="L1603" s="160"/>
    </row>
    <row r="1604" spans="1:12" x14ac:dyDescent="0.2">
      <c r="A1604" s="129">
        <f ca="1">IF(F1604&lt;&gt;"",1+MAX($A$6:B1612),"")</f>
        <v>620</v>
      </c>
      <c r="B1604" s="126" t="s">
        <v>458</v>
      </c>
      <c r="C1604" s="120" t="s">
        <v>489</v>
      </c>
      <c r="D1604" s="120"/>
      <c r="E1604" s="122" t="s">
        <v>487</v>
      </c>
      <c r="F1604" s="123">
        <f>125/1*4*1.5*1.2</f>
        <v>900</v>
      </c>
      <c r="G1604" s="184">
        <v>0.1</v>
      </c>
      <c r="H1604" s="125">
        <f t="shared" si="201"/>
        <v>990.00000000000011</v>
      </c>
      <c r="I1604" s="126" t="s">
        <v>292</v>
      </c>
      <c r="J1604" s="37">
        <f t="shared" si="203"/>
        <v>0</v>
      </c>
      <c r="K1604" s="159">
        <f t="shared" si="202"/>
        <v>0</v>
      </c>
      <c r="L1604" s="160"/>
    </row>
    <row r="1605" spans="1:12" ht="63" x14ac:dyDescent="0.2">
      <c r="A1605" s="129" t="str">
        <f>IF(F1605&lt;&gt;"",1+MAX($A$6:B1613),"")</f>
        <v/>
      </c>
      <c r="B1605" s="126"/>
      <c r="C1605" s="120"/>
      <c r="D1605" s="183"/>
      <c r="E1605" s="172" t="s">
        <v>491</v>
      </c>
      <c r="F1605" s="123"/>
      <c r="G1605" s="124"/>
      <c r="H1605" s="125"/>
      <c r="I1605" s="126"/>
      <c r="J1605" s="37"/>
      <c r="K1605" s="159"/>
      <c r="L1605" s="160"/>
    </row>
    <row r="1606" spans="1:12" x14ac:dyDescent="0.2">
      <c r="A1606" s="129">
        <f ca="1">IF(F1606&lt;&gt;"",1+MAX($A$6:B1614),"")</f>
        <v>621</v>
      </c>
      <c r="B1606" s="126" t="s">
        <v>458</v>
      </c>
      <c r="C1606" s="120" t="s">
        <v>492</v>
      </c>
      <c r="D1606" s="120"/>
      <c r="E1606" s="122" t="s">
        <v>460</v>
      </c>
      <c r="F1606" s="123">
        <f>328*2.5*1.25/27</f>
        <v>37.962962962962962</v>
      </c>
      <c r="G1606" s="184">
        <v>0.1</v>
      </c>
      <c r="H1606" s="125">
        <f t="shared" ref="H1606:H1610" si="204">F1606*(1+G1606)</f>
        <v>41.75925925925926</v>
      </c>
      <c r="I1606" s="126" t="s">
        <v>461</v>
      </c>
      <c r="J1606" s="37">
        <f>$J$11</f>
        <v>0</v>
      </c>
      <c r="K1606" s="159">
        <f t="shared" ref="K1606:K1610" si="205">J1606*H1606</f>
        <v>0</v>
      </c>
      <c r="L1606" s="160"/>
    </row>
    <row r="1607" spans="1:12" x14ac:dyDescent="0.2">
      <c r="A1607" s="129">
        <f ca="1">IF(F1607&lt;&gt;"",1+MAX($A$6:B1615),"")</f>
        <v>622</v>
      </c>
      <c r="B1607" s="126" t="s">
        <v>458</v>
      </c>
      <c r="C1607" s="120" t="s">
        <v>492</v>
      </c>
      <c r="D1607" s="120"/>
      <c r="E1607" s="122" t="s">
        <v>485</v>
      </c>
      <c r="F1607" s="123">
        <f>328*1.25*2</f>
        <v>820</v>
      </c>
      <c r="G1607" s="184">
        <v>0.1</v>
      </c>
      <c r="H1607" s="125">
        <f t="shared" si="204"/>
        <v>902.00000000000011</v>
      </c>
      <c r="I1607" s="126" t="s">
        <v>463</v>
      </c>
      <c r="J1607" s="37">
        <f>K$70</f>
        <v>0</v>
      </c>
      <c r="K1607" s="159">
        <f t="shared" si="205"/>
        <v>0</v>
      </c>
      <c r="L1607" s="160"/>
    </row>
    <row r="1608" spans="1:12" x14ac:dyDescent="0.2">
      <c r="A1608" s="129">
        <f ca="1">IF(F1608&lt;&gt;"",1+MAX($A$6:B1616),"")</f>
        <v>623</v>
      </c>
      <c r="B1608" s="126" t="s">
        <v>458</v>
      </c>
      <c r="C1608" s="120" t="s">
        <v>492</v>
      </c>
      <c r="D1608" s="120"/>
      <c r="E1608" s="122" t="s">
        <v>464</v>
      </c>
      <c r="F1608" s="123">
        <f>325*3.5*2/27</f>
        <v>84.259259259259252</v>
      </c>
      <c r="G1608" s="184">
        <v>0.1</v>
      </c>
      <c r="H1608" s="125">
        <f t="shared" si="204"/>
        <v>92.68518518518519</v>
      </c>
      <c r="I1608" s="126" t="s">
        <v>461</v>
      </c>
      <c r="J1608" s="37">
        <f>$J$13</f>
        <v>0</v>
      </c>
      <c r="K1608" s="159">
        <f t="shared" si="205"/>
        <v>0</v>
      </c>
      <c r="L1608" s="160"/>
    </row>
    <row r="1609" spans="1:12" x14ac:dyDescent="0.2">
      <c r="A1609" s="129">
        <f ca="1">IF(F1609&lt;&gt;"",1+MAX($A$6:B1617),"")</f>
        <v>624</v>
      </c>
      <c r="B1609" s="126" t="s">
        <v>458</v>
      </c>
      <c r="C1609" s="120" t="s">
        <v>492</v>
      </c>
      <c r="D1609" s="120"/>
      <c r="E1609" s="122" t="s">
        <v>465</v>
      </c>
      <c r="F1609" s="123">
        <f>F1608-F1606</f>
        <v>46.296296296296291</v>
      </c>
      <c r="G1609" s="184">
        <v>0.1</v>
      </c>
      <c r="H1609" s="125">
        <f t="shared" si="204"/>
        <v>50.925925925925924</v>
      </c>
      <c r="I1609" s="126" t="s">
        <v>461</v>
      </c>
      <c r="J1609" s="37">
        <f>$J$14</f>
        <v>0</v>
      </c>
      <c r="K1609" s="159">
        <f t="shared" si="205"/>
        <v>0</v>
      </c>
      <c r="L1609" s="160"/>
    </row>
    <row r="1610" spans="1:12" x14ac:dyDescent="0.2">
      <c r="A1610" s="129">
        <f ca="1">IF(F1610&lt;&gt;"",1+MAX($A$6:B1618),"")</f>
        <v>625</v>
      </c>
      <c r="B1610" s="126" t="s">
        <v>458</v>
      </c>
      <c r="C1610" s="120" t="s">
        <v>492</v>
      </c>
      <c r="D1610" s="120"/>
      <c r="E1610" s="122" t="s">
        <v>493</v>
      </c>
      <c r="F1610" s="123">
        <f>3*328*1.043*1.2</f>
        <v>1231.5743999999997</v>
      </c>
      <c r="G1610" s="184">
        <v>0.1</v>
      </c>
      <c r="H1610" s="125">
        <f t="shared" si="204"/>
        <v>1354.7318399999999</v>
      </c>
      <c r="I1610" s="126" t="s">
        <v>292</v>
      </c>
      <c r="J1610" s="37">
        <f>$J$15</f>
        <v>0</v>
      </c>
      <c r="K1610" s="159">
        <f t="shared" si="205"/>
        <v>0</v>
      </c>
      <c r="L1610" s="160"/>
    </row>
    <row r="1611" spans="1:12" ht="63" x14ac:dyDescent="0.2">
      <c r="A1611" s="129" t="str">
        <f>IF(F1611&lt;&gt;"",1+MAX($A$6:B1619),"")</f>
        <v/>
      </c>
      <c r="B1611" s="126"/>
      <c r="C1611" s="120"/>
      <c r="D1611" s="183"/>
      <c r="E1611" s="172" t="s">
        <v>494</v>
      </c>
      <c r="F1611" s="123"/>
      <c r="G1611" s="124"/>
      <c r="H1611" s="125"/>
      <c r="I1611" s="126"/>
      <c r="J1611" s="37"/>
      <c r="K1611" s="159"/>
      <c r="L1611" s="160"/>
    </row>
    <row r="1612" spans="1:12" x14ac:dyDescent="0.2">
      <c r="A1612" s="129">
        <f ca="1">IF(F1612&lt;&gt;"",1+MAX($A$6:B1620),"")</f>
        <v>626</v>
      </c>
      <c r="B1612" s="126" t="s">
        <v>458</v>
      </c>
      <c r="C1612" s="120" t="s">
        <v>495</v>
      </c>
      <c r="D1612" s="120"/>
      <c r="E1612" s="122" t="s">
        <v>460</v>
      </c>
      <c r="F1612" s="123">
        <f>35*3.75*1.25/27</f>
        <v>6.0763888888888893</v>
      </c>
      <c r="G1612" s="184">
        <v>0.1</v>
      </c>
      <c r="H1612" s="125">
        <f t="shared" ref="H1612:H1617" si="206">F1612*(1+G1612)</f>
        <v>6.6840277777777786</v>
      </c>
      <c r="I1612" s="126" t="s">
        <v>461</v>
      </c>
      <c r="J1612" s="37">
        <f>$J$11</f>
        <v>0</v>
      </c>
      <c r="K1612" s="159">
        <f t="shared" ref="K1612:K1617" si="207">J1612*H1612</f>
        <v>0</v>
      </c>
      <c r="L1612" s="160"/>
    </row>
    <row r="1613" spans="1:12" x14ac:dyDescent="0.2">
      <c r="A1613" s="129">
        <f ca="1">IF(F1613&lt;&gt;"",1+MAX($A$6:B1621),"")</f>
        <v>627</v>
      </c>
      <c r="B1613" s="126" t="s">
        <v>458</v>
      </c>
      <c r="C1613" s="120" t="s">
        <v>495</v>
      </c>
      <c r="D1613" s="120"/>
      <c r="E1613" s="122" t="s">
        <v>485</v>
      </c>
      <c r="F1613" s="123">
        <f>35*1.25*2</f>
        <v>87.5</v>
      </c>
      <c r="G1613" s="184">
        <v>0.1</v>
      </c>
      <c r="H1613" s="125">
        <f t="shared" si="206"/>
        <v>96.250000000000014</v>
      </c>
      <c r="I1613" s="126" t="s">
        <v>463</v>
      </c>
      <c r="J1613" s="37">
        <f>K$70</f>
        <v>0</v>
      </c>
      <c r="K1613" s="159">
        <f t="shared" si="207"/>
        <v>0</v>
      </c>
      <c r="L1613" s="160"/>
    </row>
    <row r="1614" spans="1:12" x14ac:dyDescent="0.2">
      <c r="A1614" s="129">
        <f ca="1">IF(F1614&lt;&gt;"",1+MAX($A$6:B1622),"")</f>
        <v>628</v>
      </c>
      <c r="B1614" s="126" t="s">
        <v>458</v>
      </c>
      <c r="C1614" s="120" t="s">
        <v>495</v>
      </c>
      <c r="D1614" s="120"/>
      <c r="E1614" s="122" t="s">
        <v>464</v>
      </c>
      <c r="F1614" s="123">
        <f>35*4.75*2/27</f>
        <v>12.314814814814815</v>
      </c>
      <c r="G1614" s="184">
        <v>0.1</v>
      </c>
      <c r="H1614" s="125">
        <f t="shared" si="206"/>
        <v>13.546296296296298</v>
      </c>
      <c r="I1614" s="126" t="s">
        <v>461</v>
      </c>
      <c r="J1614" s="37">
        <f>$J$13</f>
        <v>0</v>
      </c>
      <c r="K1614" s="159">
        <f t="shared" si="207"/>
        <v>0</v>
      </c>
      <c r="L1614" s="160"/>
    </row>
    <row r="1615" spans="1:12" x14ac:dyDescent="0.2">
      <c r="A1615" s="129">
        <f ca="1">IF(F1615&lt;&gt;"",1+MAX($A$6:B1623),"")</f>
        <v>629</v>
      </c>
      <c r="B1615" s="126" t="s">
        <v>458</v>
      </c>
      <c r="C1615" s="120" t="s">
        <v>495</v>
      </c>
      <c r="D1615" s="120"/>
      <c r="E1615" s="122" t="s">
        <v>465</v>
      </c>
      <c r="F1615" s="123">
        <f>F1614-F1612</f>
        <v>6.2384259259259256</v>
      </c>
      <c r="G1615" s="184">
        <v>0.1</v>
      </c>
      <c r="H1615" s="125">
        <f t="shared" si="206"/>
        <v>6.862268518518519</v>
      </c>
      <c r="I1615" s="126" t="s">
        <v>461</v>
      </c>
      <c r="J1615" s="37">
        <f>$J$14</f>
        <v>0</v>
      </c>
      <c r="K1615" s="159">
        <f t="shared" si="207"/>
        <v>0</v>
      </c>
      <c r="L1615" s="160"/>
    </row>
    <row r="1616" spans="1:12" x14ac:dyDescent="0.2">
      <c r="A1616" s="129">
        <f ca="1">IF(F1616&lt;&gt;"",1+MAX($A$6:B1624),"")</f>
        <v>630</v>
      </c>
      <c r="B1616" s="126" t="s">
        <v>458</v>
      </c>
      <c r="C1616" s="120" t="s">
        <v>495</v>
      </c>
      <c r="D1616" s="120"/>
      <c r="E1616" s="122" t="s">
        <v>490</v>
      </c>
      <c r="F1616" s="123">
        <f>5*35*1.043*1.2</f>
        <v>219.02999999999997</v>
      </c>
      <c r="G1616" s="184">
        <v>0.1</v>
      </c>
      <c r="H1616" s="125">
        <f t="shared" si="206"/>
        <v>240.93299999999999</v>
      </c>
      <c r="I1616" s="126" t="s">
        <v>292</v>
      </c>
      <c r="J1616" s="37">
        <f t="shared" ref="J1616:J1617" si="208">$J$15</f>
        <v>0</v>
      </c>
      <c r="K1616" s="159">
        <f t="shared" si="207"/>
        <v>0</v>
      </c>
      <c r="L1616" s="160"/>
    </row>
    <row r="1617" spans="1:12" x14ac:dyDescent="0.2">
      <c r="A1617" s="129">
        <f ca="1">IF(F1617&lt;&gt;"",1+MAX($A$6:B1625),"")</f>
        <v>631</v>
      </c>
      <c r="B1617" s="126" t="s">
        <v>458</v>
      </c>
      <c r="C1617" s="120" t="s">
        <v>495</v>
      </c>
      <c r="D1617" s="120"/>
      <c r="E1617" s="122" t="s">
        <v>487</v>
      </c>
      <c r="F1617" s="123">
        <f>35/1*3.75*1.5*1.2</f>
        <v>236.25</v>
      </c>
      <c r="G1617" s="184">
        <v>0.1</v>
      </c>
      <c r="H1617" s="125">
        <f t="shared" si="206"/>
        <v>259.875</v>
      </c>
      <c r="I1617" s="126" t="s">
        <v>292</v>
      </c>
      <c r="J1617" s="37">
        <f t="shared" si="208"/>
        <v>0</v>
      </c>
      <c r="K1617" s="159">
        <f t="shared" si="207"/>
        <v>0</v>
      </c>
      <c r="L1617" s="160"/>
    </row>
    <row r="1618" spans="1:12" ht="63" x14ac:dyDescent="0.2">
      <c r="A1618" s="129" t="str">
        <f>IF(F1618&lt;&gt;"",1+MAX($A$6:B1626),"")</f>
        <v/>
      </c>
      <c r="B1618" s="126"/>
      <c r="C1618" s="120"/>
      <c r="D1618" s="183"/>
      <c r="E1618" s="172" t="s">
        <v>496</v>
      </c>
      <c r="F1618" s="123"/>
      <c r="G1618" s="124"/>
      <c r="H1618" s="125"/>
      <c r="I1618" s="126"/>
      <c r="J1618" s="37"/>
      <c r="K1618" s="159"/>
      <c r="L1618" s="160"/>
    </row>
    <row r="1619" spans="1:12" x14ac:dyDescent="0.2">
      <c r="A1619" s="129">
        <f ca="1">IF(F1619&lt;&gt;"",1+MAX($A$6:B1627),"")</f>
        <v>632</v>
      </c>
      <c r="B1619" s="126" t="s">
        <v>458</v>
      </c>
      <c r="C1619" s="120" t="s">
        <v>497</v>
      </c>
      <c r="D1619" s="120"/>
      <c r="E1619" s="122" t="s">
        <v>460</v>
      </c>
      <c r="F1619" s="123">
        <f>21*3.75*1.25/27</f>
        <v>3.6458333333333335</v>
      </c>
      <c r="G1619" s="184">
        <v>0.1</v>
      </c>
      <c r="H1619" s="125">
        <f t="shared" ref="H1619:H1624" si="209">F1619*(1+G1619)</f>
        <v>4.010416666666667</v>
      </c>
      <c r="I1619" s="126" t="s">
        <v>461</v>
      </c>
      <c r="J1619" s="37">
        <f>$J$11</f>
        <v>0</v>
      </c>
      <c r="K1619" s="159">
        <f t="shared" ref="K1619:K1624" si="210">J1619*H1619</f>
        <v>0</v>
      </c>
      <c r="L1619" s="160"/>
    </row>
    <row r="1620" spans="1:12" x14ac:dyDescent="0.2">
      <c r="A1620" s="129">
        <f ca="1">IF(F1620&lt;&gt;"",1+MAX($A$6:B1628),"")</f>
        <v>633</v>
      </c>
      <c r="B1620" s="126" t="s">
        <v>458</v>
      </c>
      <c r="C1620" s="120" t="s">
        <v>497</v>
      </c>
      <c r="D1620" s="120"/>
      <c r="E1620" s="122" t="s">
        <v>485</v>
      </c>
      <c r="F1620" s="123">
        <f>21*1.25*2</f>
        <v>52.5</v>
      </c>
      <c r="G1620" s="184">
        <v>0.1</v>
      </c>
      <c r="H1620" s="125">
        <f t="shared" si="209"/>
        <v>57.750000000000007</v>
      </c>
      <c r="I1620" s="126" t="s">
        <v>463</v>
      </c>
      <c r="J1620" s="37">
        <f>K$70</f>
        <v>0</v>
      </c>
      <c r="K1620" s="159">
        <f t="shared" si="210"/>
        <v>0</v>
      </c>
      <c r="L1620" s="160"/>
    </row>
    <row r="1621" spans="1:12" x14ac:dyDescent="0.2">
      <c r="A1621" s="129">
        <f ca="1">IF(F1621&lt;&gt;"",1+MAX($A$6:B1629),"")</f>
        <v>634</v>
      </c>
      <c r="B1621" s="126" t="s">
        <v>458</v>
      </c>
      <c r="C1621" s="120" t="s">
        <v>497</v>
      </c>
      <c r="D1621" s="120"/>
      <c r="E1621" s="122" t="s">
        <v>464</v>
      </c>
      <c r="F1621" s="123">
        <f>21*4.75*2/27</f>
        <v>7.3888888888888893</v>
      </c>
      <c r="G1621" s="184">
        <v>0.1</v>
      </c>
      <c r="H1621" s="125">
        <f t="shared" si="209"/>
        <v>8.1277777777777782</v>
      </c>
      <c r="I1621" s="126" t="s">
        <v>461</v>
      </c>
      <c r="J1621" s="37">
        <f>$J$13</f>
        <v>0</v>
      </c>
      <c r="K1621" s="159">
        <f t="shared" si="210"/>
        <v>0</v>
      </c>
      <c r="L1621" s="160"/>
    </row>
    <row r="1622" spans="1:12" x14ac:dyDescent="0.2">
      <c r="A1622" s="129">
        <f ca="1">IF(F1622&lt;&gt;"",1+MAX($A$6:B1630),"")</f>
        <v>635</v>
      </c>
      <c r="B1622" s="126" t="s">
        <v>458</v>
      </c>
      <c r="C1622" s="120" t="s">
        <v>497</v>
      </c>
      <c r="D1622" s="120"/>
      <c r="E1622" s="122" t="s">
        <v>465</v>
      </c>
      <c r="F1622" s="123">
        <f>F1621-F1619</f>
        <v>3.7430555555555558</v>
      </c>
      <c r="G1622" s="184">
        <v>0.1</v>
      </c>
      <c r="H1622" s="125">
        <f t="shared" si="209"/>
        <v>4.1173611111111121</v>
      </c>
      <c r="I1622" s="126" t="s">
        <v>461</v>
      </c>
      <c r="J1622" s="37">
        <f>$J$14</f>
        <v>0</v>
      </c>
      <c r="K1622" s="159">
        <f t="shared" si="210"/>
        <v>0</v>
      </c>
      <c r="L1622" s="160"/>
    </row>
    <row r="1623" spans="1:12" x14ac:dyDescent="0.2">
      <c r="A1623" s="129">
        <f ca="1">IF(F1623&lt;&gt;"",1+MAX($A$6:B1631),"")</f>
        <v>636</v>
      </c>
      <c r="B1623" s="126" t="s">
        <v>458</v>
      </c>
      <c r="C1623" s="120" t="s">
        <v>497</v>
      </c>
      <c r="D1623" s="120"/>
      <c r="E1623" s="122" t="s">
        <v>490</v>
      </c>
      <c r="F1623" s="123">
        <f>5*21*1.043*1.2</f>
        <v>131.41799999999998</v>
      </c>
      <c r="G1623" s="184">
        <v>0.1</v>
      </c>
      <c r="H1623" s="125">
        <f t="shared" si="209"/>
        <v>144.5598</v>
      </c>
      <c r="I1623" s="126" t="s">
        <v>292</v>
      </c>
      <c r="J1623" s="37">
        <f t="shared" ref="J1623:J1624" si="211">$J$15</f>
        <v>0</v>
      </c>
      <c r="K1623" s="159">
        <f t="shared" si="210"/>
        <v>0</v>
      </c>
      <c r="L1623" s="160"/>
    </row>
    <row r="1624" spans="1:12" x14ac:dyDescent="0.2">
      <c r="A1624" s="129">
        <f ca="1">IF(F1624&lt;&gt;"",1+MAX($A$6:B1632),"")</f>
        <v>637</v>
      </c>
      <c r="B1624" s="126" t="s">
        <v>458</v>
      </c>
      <c r="C1624" s="120" t="s">
        <v>497</v>
      </c>
      <c r="D1624" s="120"/>
      <c r="E1624" s="122" t="s">
        <v>487</v>
      </c>
      <c r="F1624" s="123">
        <f>21/1*3.75*1.5*1.2</f>
        <v>141.75</v>
      </c>
      <c r="G1624" s="184">
        <v>0.1</v>
      </c>
      <c r="H1624" s="125">
        <f t="shared" si="209"/>
        <v>155.92500000000001</v>
      </c>
      <c r="I1624" s="126" t="s">
        <v>292</v>
      </c>
      <c r="J1624" s="37">
        <f t="shared" si="211"/>
        <v>0</v>
      </c>
      <c r="K1624" s="159">
        <f t="shared" si="210"/>
        <v>0</v>
      </c>
      <c r="L1624" s="160"/>
    </row>
    <row r="1625" spans="1:12" ht="63" x14ac:dyDescent="0.2">
      <c r="A1625" s="129" t="str">
        <f>IF(F1625&lt;&gt;"",1+MAX($A$6:B1633),"")</f>
        <v/>
      </c>
      <c r="B1625" s="126"/>
      <c r="C1625" s="120"/>
      <c r="D1625" s="183"/>
      <c r="E1625" s="172" t="s">
        <v>498</v>
      </c>
      <c r="F1625" s="123"/>
      <c r="G1625" s="124"/>
      <c r="H1625" s="125"/>
      <c r="I1625" s="126"/>
      <c r="J1625" s="37"/>
      <c r="K1625" s="159"/>
      <c r="L1625" s="160"/>
    </row>
    <row r="1626" spans="1:12" x14ac:dyDescent="0.2">
      <c r="A1626" s="129">
        <f ca="1">IF(F1626&lt;&gt;"",1+MAX($A$6:B1634),"")</f>
        <v>638</v>
      </c>
      <c r="B1626" s="126" t="s">
        <v>458</v>
      </c>
      <c r="C1626" s="120" t="s">
        <v>499</v>
      </c>
      <c r="D1626" s="120"/>
      <c r="E1626" s="122" t="s">
        <v>460</v>
      </c>
      <c r="F1626" s="123">
        <f>80*3.5*1.25/27</f>
        <v>12.962962962962964</v>
      </c>
      <c r="G1626" s="184">
        <v>0.1</v>
      </c>
      <c r="H1626" s="125">
        <f t="shared" ref="H1626:H1631" si="212">F1626*(1+G1626)</f>
        <v>14.259259259259261</v>
      </c>
      <c r="I1626" s="126" t="s">
        <v>461</v>
      </c>
      <c r="J1626" s="37">
        <f>$J$11</f>
        <v>0</v>
      </c>
      <c r="K1626" s="159">
        <f t="shared" ref="K1626:K1631" si="213">J1626*H1626</f>
        <v>0</v>
      </c>
      <c r="L1626" s="160"/>
    </row>
    <row r="1627" spans="1:12" x14ac:dyDescent="0.2">
      <c r="A1627" s="129">
        <f ca="1">IF(F1627&lt;&gt;"",1+MAX($A$6:B1635),"")</f>
        <v>639</v>
      </c>
      <c r="B1627" s="126" t="s">
        <v>458</v>
      </c>
      <c r="C1627" s="120" t="s">
        <v>499</v>
      </c>
      <c r="D1627" s="120"/>
      <c r="E1627" s="122" t="s">
        <v>485</v>
      </c>
      <c r="F1627" s="123">
        <f>80*1.25*2</f>
        <v>200</v>
      </c>
      <c r="G1627" s="184">
        <v>0.1</v>
      </c>
      <c r="H1627" s="125">
        <f t="shared" si="212"/>
        <v>220.00000000000003</v>
      </c>
      <c r="I1627" s="126" t="s">
        <v>463</v>
      </c>
      <c r="J1627" s="37">
        <f>K$70</f>
        <v>0</v>
      </c>
      <c r="K1627" s="159">
        <f t="shared" si="213"/>
        <v>0</v>
      </c>
      <c r="L1627" s="160"/>
    </row>
    <row r="1628" spans="1:12" x14ac:dyDescent="0.2">
      <c r="A1628" s="129">
        <f ca="1">IF(F1628&lt;&gt;"",1+MAX($A$6:B1636),"")</f>
        <v>640</v>
      </c>
      <c r="B1628" s="126" t="s">
        <v>458</v>
      </c>
      <c r="C1628" s="120" t="s">
        <v>499</v>
      </c>
      <c r="D1628" s="120"/>
      <c r="E1628" s="122" t="s">
        <v>464</v>
      </c>
      <c r="F1628" s="123">
        <f>80*4.5*2/27</f>
        <v>26.666666666666668</v>
      </c>
      <c r="G1628" s="184">
        <v>0.1</v>
      </c>
      <c r="H1628" s="125">
        <f t="shared" si="212"/>
        <v>29.333333333333336</v>
      </c>
      <c r="I1628" s="126" t="s">
        <v>461</v>
      </c>
      <c r="J1628" s="37">
        <f>$J$13</f>
        <v>0</v>
      </c>
      <c r="K1628" s="159">
        <f t="shared" si="213"/>
        <v>0</v>
      </c>
      <c r="L1628" s="160"/>
    </row>
    <row r="1629" spans="1:12" x14ac:dyDescent="0.2">
      <c r="A1629" s="129">
        <f ca="1">IF(F1629&lt;&gt;"",1+MAX($A$6:B1637),"")</f>
        <v>641</v>
      </c>
      <c r="B1629" s="126" t="s">
        <v>458</v>
      </c>
      <c r="C1629" s="120" t="s">
        <v>499</v>
      </c>
      <c r="D1629" s="120"/>
      <c r="E1629" s="122" t="s">
        <v>465</v>
      </c>
      <c r="F1629" s="123">
        <f>F1628-F1626</f>
        <v>13.703703703703704</v>
      </c>
      <c r="G1629" s="184">
        <v>0.1</v>
      </c>
      <c r="H1629" s="125">
        <f t="shared" si="212"/>
        <v>15.074074074074076</v>
      </c>
      <c r="I1629" s="126" t="s">
        <v>461</v>
      </c>
      <c r="J1629" s="37">
        <f>$J$14</f>
        <v>0</v>
      </c>
      <c r="K1629" s="159">
        <f t="shared" si="213"/>
        <v>0</v>
      </c>
      <c r="L1629" s="160"/>
    </row>
    <row r="1630" spans="1:12" x14ac:dyDescent="0.2">
      <c r="A1630" s="129">
        <f ca="1">IF(F1630&lt;&gt;"",1+MAX($A$6:B1638),"")</f>
        <v>642</v>
      </c>
      <c r="B1630" s="126" t="s">
        <v>458</v>
      </c>
      <c r="C1630" s="120" t="s">
        <v>499</v>
      </c>
      <c r="D1630" s="120"/>
      <c r="E1630" s="122" t="s">
        <v>486</v>
      </c>
      <c r="F1630" s="123">
        <f>4*80*1.043*1.2</f>
        <v>400.512</v>
      </c>
      <c r="G1630" s="184">
        <v>0.1</v>
      </c>
      <c r="H1630" s="125">
        <f t="shared" si="212"/>
        <v>440.56320000000005</v>
      </c>
      <c r="I1630" s="126" t="s">
        <v>292</v>
      </c>
      <c r="J1630" s="37">
        <f t="shared" ref="J1630:J1631" si="214">$J$15</f>
        <v>0</v>
      </c>
      <c r="K1630" s="159">
        <f t="shared" si="213"/>
        <v>0</v>
      </c>
      <c r="L1630" s="160"/>
    </row>
    <row r="1631" spans="1:12" x14ac:dyDescent="0.2">
      <c r="A1631" s="129">
        <f ca="1">IF(F1631&lt;&gt;"",1+MAX($A$6:B1639),"")</f>
        <v>643</v>
      </c>
      <c r="B1631" s="126" t="s">
        <v>458</v>
      </c>
      <c r="C1631" s="120" t="s">
        <v>499</v>
      </c>
      <c r="D1631" s="120"/>
      <c r="E1631" s="122" t="s">
        <v>487</v>
      </c>
      <c r="F1631" s="123">
        <f>81*3.5*1.5*1.2</f>
        <v>510.29999999999995</v>
      </c>
      <c r="G1631" s="184">
        <v>0.1</v>
      </c>
      <c r="H1631" s="125">
        <f t="shared" si="212"/>
        <v>561.33000000000004</v>
      </c>
      <c r="I1631" s="126" t="s">
        <v>292</v>
      </c>
      <c r="J1631" s="37">
        <f t="shared" si="214"/>
        <v>0</v>
      </c>
      <c r="K1631" s="159">
        <f t="shared" si="213"/>
        <v>0</v>
      </c>
      <c r="L1631" s="160"/>
    </row>
    <row r="1632" spans="1:12" ht="63" x14ac:dyDescent="0.2">
      <c r="A1632" s="129" t="str">
        <f>IF(F1632&lt;&gt;"",1+MAX($A$6:B1640),"")</f>
        <v/>
      </c>
      <c r="B1632" s="126"/>
      <c r="C1632" s="120"/>
      <c r="D1632" s="183"/>
      <c r="E1632" s="172" t="s">
        <v>500</v>
      </c>
      <c r="F1632" s="123"/>
      <c r="G1632" s="124"/>
      <c r="H1632" s="125"/>
      <c r="I1632" s="126"/>
      <c r="J1632" s="37"/>
      <c r="K1632" s="159"/>
      <c r="L1632" s="160"/>
    </row>
    <row r="1633" spans="1:12" x14ac:dyDescent="0.2">
      <c r="A1633" s="129">
        <f ca="1">IF(F1633&lt;&gt;"",1+MAX($A$6:B1641),"")</f>
        <v>644</v>
      </c>
      <c r="B1633" s="126" t="s">
        <v>458</v>
      </c>
      <c r="C1633" s="120" t="s">
        <v>501</v>
      </c>
      <c r="D1633" s="120"/>
      <c r="E1633" s="122" t="s">
        <v>460</v>
      </c>
      <c r="F1633" s="123">
        <f>17*3*1.25/27</f>
        <v>2.3611111111111112</v>
      </c>
      <c r="G1633" s="184">
        <v>0.1</v>
      </c>
      <c r="H1633" s="125">
        <f t="shared" ref="H1633:H1638" si="215">F1633*(1+G1633)</f>
        <v>2.5972222222222223</v>
      </c>
      <c r="I1633" s="126" t="s">
        <v>461</v>
      </c>
      <c r="J1633" s="37">
        <f>$J$11</f>
        <v>0</v>
      </c>
      <c r="K1633" s="159">
        <f t="shared" ref="K1633:K1638" si="216">J1633*H1633</f>
        <v>0</v>
      </c>
      <c r="L1633" s="160"/>
    </row>
    <row r="1634" spans="1:12" x14ac:dyDescent="0.2">
      <c r="A1634" s="129">
        <f ca="1">IF(F1634&lt;&gt;"",1+MAX($A$6:B1642),"")</f>
        <v>645</v>
      </c>
      <c r="B1634" s="126" t="s">
        <v>458</v>
      </c>
      <c r="C1634" s="120" t="s">
        <v>501</v>
      </c>
      <c r="D1634" s="120"/>
      <c r="E1634" s="122" t="s">
        <v>485</v>
      </c>
      <c r="F1634" s="123">
        <f>17*1.25*2</f>
        <v>42.5</v>
      </c>
      <c r="G1634" s="184">
        <v>0.1</v>
      </c>
      <c r="H1634" s="125">
        <f t="shared" si="215"/>
        <v>46.750000000000007</v>
      </c>
      <c r="I1634" s="126" t="s">
        <v>463</v>
      </c>
      <c r="J1634" s="37">
        <f>K$70</f>
        <v>0</v>
      </c>
      <c r="K1634" s="159">
        <f t="shared" si="216"/>
        <v>0</v>
      </c>
      <c r="L1634" s="160"/>
    </row>
    <row r="1635" spans="1:12" x14ac:dyDescent="0.2">
      <c r="A1635" s="129">
        <f ca="1">IF(F1635&lt;&gt;"",1+MAX($A$6:B1643),"")</f>
        <v>646</v>
      </c>
      <c r="B1635" s="126" t="s">
        <v>458</v>
      </c>
      <c r="C1635" s="120" t="s">
        <v>501</v>
      </c>
      <c r="D1635" s="120"/>
      <c r="E1635" s="122" t="s">
        <v>464</v>
      </c>
      <c r="F1635" s="123">
        <f>17*4*2/27</f>
        <v>5.0370370370370372</v>
      </c>
      <c r="G1635" s="184">
        <v>0.1</v>
      </c>
      <c r="H1635" s="125">
        <f t="shared" si="215"/>
        <v>5.5407407407407412</v>
      </c>
      <c r="I1635" s="126" t="s">
        <v>461</v>
      </c>
      <c r="J1635" s="37">
        <f>$J$13</f>
        <v>0</v>
      </c>
      <c r="K1635" s="159">
        <f t="shared" si="216"/>
        <v>0</v>
      </c>
      <c r="L1635" s="160"/>
    </row>
    <row r="1636" spans="1:12" x14ac:dyDescent="0.2">
      <c r="A1636" s="129">
        <f ca="1">IF(F1636&lt;&gt;"",1+MAX($A$6:B1644),"")</f>
        <v>647</v>
      </c>
      <c r="B1636" s="126" t="s">
        <v>458</v>
      </c>
      <c r="C1636" s="120" t="s">
        <v>501</v>
      </c>
      <c r="D1636" s="120"/>
      <c r="E1636" s="122" t="s">
        <v>465</v>
      </c>
      <c r="F1636" s="123">
        <f>F1635-F1633</f>
        <v>2.675925925925926</v>
      </c>
      <c r="G1636" s="184">
        <v>0.1</v>
      </c>
      <c r="H1636" s="125">
        <f t="shared" si="215"/>
        <v>2.9435185185185189</v>
      </c>
      <c r="I1636" s="126" t="s">
        <v>461</v>
      </c>
      <c r="J1636" s="37">
        <f>$J$14</f>
        <v>0</v>
      </c>
      <c r="K1636" s="159">
        <f t="shared" si="216"/>
        <v>0</v>
      </c>
      <c r="L1636" s="160"/>
    </row>
    <row r="1637" spans="1:12" x14ac:dyDescent="0.2">
      <c r="A1637" s="129">
        <f ca="1">IF(F1637&lt;&gt;"",1+MAX($A$6:B1645),"")</f>
        <v>648</v>
      </c>
      <c r="B1637" s="126" t="s">
        <v>458</v>
      </c>
      <c r="C1637" s="120" t="s">
        <v>501</v>
      </c>
      <c r="D1637" s="120"/>
      <c r="E1637" s="122" t="s">
        <v>486</v>
      </c>
      <c r="F1637" s="123">
        <f>4*17*1.043*1.2</f>
        <v>85.108799999999988</v>
      </c>
      <c r="G1637" s="184">
        <v>0.1</v>
      </c>
      <c r="H1637" s="125">
        <f t="shared" si="215"/>
        <v>93.619679999999988</v>
      </c>
      <c r="I1637" s="126" t="s">
        <v>292</v>
      </c>
      <c r="J1637" s="37">
        <f t="shared" ref="J1637:J1638" si="217">$J$15</f>
        <v>0</v>
      </c>
      <c r="K1637" s="159">
        <f t="shared" si="216"/>
        <v>0</v>
      </c>
      <c r="L1637" s="160"/>
    </row>
    <row r="1638" spans="1:12" x14ac:dyDescent="0.2">
      <c r="A1638" s="129">
        <f ca="1">IF(F1638&lt;&gt;"",1+MAX($A$6:B1646),"")</f>
        <v>649</v>
      </c>
      <c r="B1638" s="126" t="s">
        <v>458</v>
      </c>
      <c r="C1638" s="120" t="s">
        <v>501</v>
      </c>
      <c r="D1638" s="120"/>
      <c r="E1638" s="122" t="s">
        <v>487</v>
      </c>
      <c r="F1638" s="123">
        <f>18*3*1.5*1.2</f>
        <v>97.2</v>
      </c>
      <c r="G1638" s="184">
        <v>0.1</v>
      </c>
      <c r="H1638" s="125">
        <f t="shared" si="215"/>
        <v>106.92000000000002</v>
      </c>
      <c r="I1638" s="126" t="s">
        <v>292</v>
      </c>
      <c r="J1638" s="37">
        <f t="shared" si="217"/>
        <v>0</v>
      </c>
      <c r="K1638" s="159">
        <f t="shared" si="216"/>
        <v>0</v>
      </c>
      <c r="L1638" s="160"/>
    </row>
    <row r="1639" spans="1:12" ht="63" x14ac:dyDescent="0.2">
      <c r="A1639" s="129" t="str">
        <f>IF(F1639&lt;&gt;"",1+MAX($A$6:B1647),"")</f>
        <v/>
      </c>
      <c r="B1639" s="126"/>
      <c r="C1639" s="120"/>
      <c r="D1639" s="183"/>
      <c r="E1639" s="172" t="s">
        <v>502</v>
      </c>
      <c r="F1639" s="123"/>
      <c r="G1639" s="124"/>
      <c r="H1639" s="125"/>
      <c r="I1639" s="126"/>
      <c r="J1639" s="37"/>
      <c r="K1639" s="159"/>
      <c r="L1639" s="160"/>
    </row>
    <row r="1640" spans="1:12" x14ac:dyDescent="0.2">
      <c r="A1640" s="129">
        <f ca="1">IF(F1640&lt;&gt;"",1+MAX($A$6:B1648),"")</f>
        <v>650</v>
      </c>
      <c r="B1640" s="126" t="s">
        <v>458</v>
      </c>
      <c r="C1640" s="120" t="s">
        <v>503</v>
      </c>
      <c r="D1640" s="120"/>
      <c r="E1640" s="122" t="s">
        <v>460</v>
      </c>
      <c r="F1640" s="123">
        <f>42*2.5*1/27</f>
        <v>3.8888888888888888</v>
      </c>
      <c r="G1640" s="184">
        <v>0.1</v>
      </c>
      <c r="H1640" s="125">
        <f t="shared" ref="H1640:H1645" si="218">F1640*(1+G1640)</f>
        <v>4.2777777777777777</v>
      </c>
      <c r="I1640" s="126" t="s">
        <v>461</v>
      </c>
      <c r="J1640" s="37">
        <f>$J$11</f>
        <v>0</v>
      </c>
      <c r="K1640" s="159">
        <f t="shared" ref="K1640:K1645" si="219">J1640*H1640</f>
        <v>0</v>
      </c>
      <c r="L1640" s="160"/>
    </row>
    <row r="1641" spans="1:12" x14ac:dyDescent="0.2">
      <c r="A1641" s="129">
        <f ca="1">IF(F1641&lt;&gt;"",1+MAX($A$6:B1649),"")</f>
        <v>651</v>
      </c>
      <c r="B1641" s="126" t="s">
        <v>458</v>
      </c>
      <c r="C1641" s="120" t="s">
        <v>503</v>
      </c>
      <c r="D1641" s="120"/>
      <c r="E1641" s="122" t="s">
        <v>485</v>
      </c>
      <c r="F1641" s="123">
        <f>42*1*2</f>
        <v>84</v>
      </c>
      <c r="G1641" s="184">
        <v>0.1</v>
      </c>
      <c r="H1641" s="125">
        <f t="shared" si="218"/>
        <v>92.4</v>
      </c>
      <c r="I1641" s="126" t="s">
        <v>463</v>
      </c>
      <c r="J1641" s="37">
        <f>K$70</f>
        <v>0</v>
      </c>
      <c r="K1641" s="159">
        <f t="shared" si="219"/>
        <v>0</v>
      </c>
      <c r="L1641" s="160"/>
    </row>
    <row r="1642" spans="1:12" x14ac:dyDescent="0.2">
      <c r="A1642" s="129">
        <f ca="1">IF(F1642&lt;&gt;"",1+MAX($A$6:B1650),"")</f>
        <v>652</v>
      </c>
      <c r="B1642" s="126" t="s">
        <v>458</v>
      </c>
      <c r="C1642" s="120" t="s">
        <v>503</v>
      </c>
      <c r="D1642" s="120"/>
      <c r="E1642" s="122" t="s">
        <v>464</v>
      </c>
      <c r="F1642" s="123">
        <f>42*3.5*1/27</f>
        <v>5.4444444444444446</v>
      </c>
      <c r="G1642" s="184">
        <v>0.1</v>
      </c>
      <c r="H1642" s="125">
        <f t="shared" si="218"/>
        <v>5.9888888888888898</v>
      </c>
      <c r="I1642" s="126" t="s">
        <v>461</v>
      </c>
      <c r="J1642" s="37">
        <f>$J$13</f>
        <v>0</v>
      </c>
      <c r="K1642" s="159">
        <f t="shared" si="219"/>
        <v>0</v>
      </c>
      <c r="L1642" s="160"/>
    </row>
    <row r="1643" spans="1:12" x14ac:dyDescent="0.2">
      <c r="A1643" s="129">
        <f ca="1">IF(F1643&lt;&gt;"",1+MAX($A$6:B1651),"")</f>
        <v>653</v>
      </c>
      <c r="B1643" s="126" t="s">
        <v>458</v>
      </c>
      <c r="C1643" s="120" t="s">
        <v>503</v>
      </c>
      <c r="D1643" s="120"/>
      <c r="E1643" s="122" t="s">
        <v>465</v>
      </c>
      <c r="F1643" s="123">
        <f>F1642-F1640</f>
        <v>1.5555555555555558</v>
      </c>
      <c r="G1643" s="184">
        <v>0.1</v>
      </c>
      <c r="H1643" s="125">
        <f t="shared" si="218"/>
        <v>1.7111111111111115</v>
      </c>
      <c r="I1643" s="126" t="s">
        <v>461</v>
      </c>
      <c r="J1643" s="37">
        <f>$J$14</f>
        <v>0</v>
      </c>
      <c r="K1643" s="159">
        <f t="shared" si="219"/>
        <v>0</v>
      </c>
      <c r="L1643" s="160"/>
    </row>
    <row r="1644" spans="1:12" x14ac:dyDescent="0.2">
      <c r="A1644" s="129">
        <f ca="1">IF(F1644&lt;&gt;"",1+MAX($A$6:B1652),"")</f>
        <v>654</v>
      </c>
      <c r="B1644" s="126" t="s">
        <v>458</v>
      </c>
      <c r="C1644" s="120" t="s">
        <v>503</v>
      </c>
      <c r="D1644" s="120"/>
      <c r="E1644" s="122" t="s">
        <v>493</v>
      </c>
      <c r="F1644" s="123">
        <f>3*42*1.043*1.2</f>
        <v>157.70159999999996</v>
      </c>
      <c r="G1644" s="184">
        <v>0.1</v>
      </c>
      <c r="H1644" s="125">
        <f t="shared" si="218"/>
        <v>173.47175999999996</v>
      </c>
      <c r="I1644" s="126" t="s">
        <v>292</v>
      </c>
      <c r="J1644" s="37">
        <f t="shared" ref="J1644:J1645" si="220">$J$15</f>
        <v>0</v>
      </c>
      <c r="K1644" s="159">
        <f t="shared" si="219"/>
        <v>0</v>
      </c>
      <c r="L1644" s="160"/>
    </row>
    <row r="1645" spans="1:12" x14ac:dyDescent="0.2">
      <c r="A1645" s="129">
        <f ca="1">IF(F1645&lt;&gt;"",1+MAX($A$6:B1653),"")</f>
        <v>655</v>
      </c>
      <c r="B1645" s="126" t="s">
        <v>458</v>
      </c>
      <c r="C1645" s="120" t="s">
        <v>503</v>
      </c>
      <c r="D1645" s="120"/>
      <c r="E1645" s="122" t="s">
        <v>504</v>
      </c>
      <c r="F1645" s="123">
        <f>43*2.5*1.043*1.2</f>
        <v>134.54699999999997</v>
      </c>
      <c r="G1645" s="184">
        <v>0.1</v>
      </c>
      <c r="H1645" s="125">
        <f t="shared" si="218"/>
        <v>148.00169999999997</v>
      </c>
      <c r="I1645" s="126" t="s">
        <v>292</v>
      </c>
      <c r="J1645" s="37">
        <f t="shared" si="220"/>
        <v>0</v>
      </c>
      <c r="K1645" s="159">
        <f t="shared" si="219"/>
        <v>0</v>
      </c>
      <c r="L1645" s="160"/>
    </row>
    <row r="1646" spans="1:12" ht="63" x14ac:dyDescent="0.2">
      <c r="A1646" s="129" t="str">
        <f>IF(F1646&lt;&gt;"",1+MAX($A$6:B1654),"")</f>
        <v/>
      </c>
      <c r="B1646" s="126"/>
      <c r="C1646" s="120"/>
      <c r="D1646" s="183"/>
      <c r="E1646" s="172" t="s">
        <v>505</v>
      </c>
      <c r="F1646" s="123"/>
      <c r="G1646" s="124"/>
      <c r="H1646" s="125"/>
      <c r="I1646" s="126"/>
      <c r="J1646" s="37"/>
      <c r="K1646" s="159"/>
      <c r="L1646" s="160"/>
    </row>
    <row r="1647" spans="1:12" x14ac:dyDescent="0.2">
      <c r="A1647" s="129">
        <f ca="1">IF(F1647&lt;&gt;"",1+MAX($A$6:B1655),"")</f>
        <v>656</v>
      </c>
      <c r="B1647" s="126" t="s">
        <v>458</v>
      </c>
      <c r="C1647" s="120" t="s">
        <v>503</v>
      </c>
      <c r="D1647" s="120"/>
      <c r="E1647" s="122" t="s">
        <v>460</v>
      </c>
      <c r="F1647" s="123">
        <f>14*1*2/27</f>
        <v>1.037037037037037</v>
      </c>
      <c r="G1647" s="184">
        <v>0.1</v>
      </c>
      <c r="H1647" s="125">
        <f t="shared" ref="H1647:H1652" si="221">F1647*(1+G1647)</f>
        <v>1.1407407407407408</v>
      </c>
      <c r="I1647" s="126" t="s">
        <v>461</v>
      </c>
      <c r="J1647" s="37">
        <f>$J$11</f>
        <v>0</v>
      </c>
      <c r="K1647" s="159">
        <f t="shared" ref="K1647:K1652" si="222">J1647*H1647</f>
        <v>0</v>
      </c>
      <c r="L1647" s="160"/>
    </row>
    <row r="1648" spans="1:12" x14ac:dyDescent="0.2">
      <c r="A1648" s="129">
        <f ca="1">IF(F1648&lt;&gt;"",1+MAX($A$6:B1656),"")</f>
        <v>657</v>
      </c>
      <c r="B1648" s="126" t="s">
        <v>458</v>
      </c>
      <c r="C1648" s="120" t="s">
        <v>503</v>
      </c>
      <c r="D1648" s="120"/>
      <c r="E1648" s="122" t="s">
        <v>485</v>
      </c>
      <c r="F1648" s="123">
        <f>14*2*2</f>
        <v>56</v>
      </c>
      <c r="G1648" s="184">
        <v>0.1</v>
      </c>
      <c r="H1648" s="125">
        <f t="shared" si="221"/>
        <v>61.600000000000009</v>
      </c>
      <c r="I1648" s="126" t="s">
        <v>463</v>
      </c>
      <c r="J1648" s="37">
        <f>K$70</f>
        <v>0</v>
      </c>
      <c r="K1648" s="159">
        <f t="shared" si="222"/>
        <v>0</v>
      </c>
      <c r="L1648" s="160"/>
    </row>
    <row r="1649" spans="1:12" x14ac:dyDescent="0.2">
      <c r="A1649" s="129">
        <f ca="1">IF(F1649&lt;&gt;"",1+MAX($A$6:B1657),"")</f>
        <v>658</v>
      </c>
      <c r="B1649" s="126" t="s">
        <v>458</v>
      </c>
      <c r="C1649" s="120" t="s">
        <v>503</v>
      </c>
      <c r="D1649" s="120"/>
      <c r="E1649" s="122" t="s">
        <v>464</v>
      </c>
      <c r="F1649" s="123">
        <f>14*2*2/27</f>
        <v>2.074074074074074</v>
      </c>
      <c r="G1649" s="184">
        <v>0.1</v>
      </c>
      <c r="H1649" s="125">
        <f t="shared" si="221"/>
        <v>2.2814814814814817</v>
      </c>
      <c r="I1649" s="126" t="s">
        <v>461</v>
      </c>
      <c r="J1649" s="37">
        <f>$J$13</f>
        <v>0</v>
      </c>
      <c r="K1649" s="159">
        <f t="shared" si="222"/>
        <v>0</v>
      </c>
      <c r="L1649" s="160"/>
    </row>
    <row r="1650" spans="1:12" x14ac:dyDescent="0.2">
      <c r="A1650" s="129">
        <f ca="1">IF(F1650&lt;&gt;"",1+MAX($A$6:B1658),"")</f>
        <v>659</v>
      </c>
      <c r="B1650" s="126" t="s">
        <v>458</v>
      </c>
      <c r="C1650" s="120" t="s">
        <v>503</v>
      </c>
      <c r="D1650" s="120"/>
      <c r="E1650" s="122" t="s">
        <v>465</v>
      </c>
      <c r="F1650" s="123">
        <f>F1649-F1647</f>
        <v>1.037037037037037</v>
      </c>
      <c r="G1650" s="184">
        <v>0.1</v>
      </c>
      <c r="H1650" s="125">
        <f t="shared" si="221"/>
        <v>1.1407407407407408</v>
      </c>
      <c r="I1650" s="126" t="s">
        <v>461</v>
      </c>
      <c r="J1650" s="37">
        <f>$J$14</f>
        <v>0</v>
      </c>
      <c r="K1650" s="159">
        <f t="shared" si="222"/>
        <v>0</v>
      </c>
      <c r="L1650" s="160"/>
    </row>
    <row r="1651" spans="1:12" x14ac:dyDescent="0.2">
      <c r="A1651" s="129">
        <f ca="1">IF(F1651&lt;&gt;"",1+MAX($A$6:B1659),"")</f>
        <v>660</v>
      </c>
      <c r="B1651" s="126" t="s">
        <v>458</v>
      </c>
      <c r="C1651" s="120" t="s">
        <v>503</v>
      </c>
      <c r="D1651" s="120"/>
      <c r="E1651" s="122" t="s">
        <v>506</v>
      </c>
      <c r="F1651" s="123">
        <f>2*14*1.043*1.2*2</f>
        <v>70.08959999999999</v>
      </c>
      <c r="G1651" s="184">
        <v>0.1</v>
      </c>
      <c r="H1651" s="125">
        <f t="shared" si="221"/>
        <v>77.098559999999992</v>
      </c>
      <c r="I1651" s="126" t="s">
        <v>292</v>
      </c>
      <c r="J1651" s="37">
        <f t="shared" ref="J1651:J1652" si="223">$J$15</f>
        <v>0</v>
      </c>
      <c r="K1651" s="159">
        <f t="shared" si="222"/>
        <v>0</v>
      </c>
      <c r="L1651" s="160"/>
    </row>
    <row r="1652" spans="1:12" x14ac:dyDescent="0.2">
      <c r="A1652" s="129">
        <f ca="1">IF(F1652&lt;&gt;"",1+MAX($A$6:B1660),"")</f>
        <v>661</v>
      </c>
      <c r="B1652" s="126" t="s">
        <v>458</v>
      </c>
      <c r="C1652" s="120" t="s">
        <v>503</v>
      </c>
      <c r="D1652" s="120"/>
      <c r="E1652" s="122" t="s">
        <v>507</v>
      </c>
      <c r="F1652" s="123">
        <f>15*3*1.043*1.2</f>
        <v>56.321999999999996</v>
      </c>
      <c r="G1652" s="184">
        <v>0.1</v>
      </c>
      <c r="H1652" s="125">
        <f t="shared" si="221"/>
        <v>61.9542</v>
      </c>
      <c r="I1652" s="126" t="s">
        <v>292</v>
      </c>
      <c r="J1652" s="37">
        <f t="shared" si="223"/>
        <v>0</v>
      </c>
      <c r="K1652" s="159">
        <f t="shared" si="222"/>
        <v>0</v>
      </c>
      <c r="L1652" s="160"/>
    </row>
    <row r="1653" spans="1:12" ht="63" x14ac:dyDescent="0.2">
      <c r="A1653" s="129" t="str">
        <f>IF(F1653&lt;&gt;"",1+MAX($A$6:B1661),"")</f>
        <v/>
      </c>
      <c r="B1653" s="126"/>
      <c r="C1653" s="120"/>
      <c r="D1653" s="183"/>
      <c r="E1653" s="172" t="s">
        <v>508</v>
      </c>
      <c r="F1653" s="123"/>
      <c r="G1653" s="124"/>
      <c r="H1653" s="125"/>
      <c r="I1653" s="126"/>
      <c r="J1653" s="37"/>
      <c r="K1653" s="159"/>
      <c r="L1653" s="160"/>
    </row>
    <row r="1654" spans="1:12" x14ac:dyDescent="0.2">
      <c r="A1654" s="129">
        <f ca="1">IF(F1654&lt;&gt;"",1+MAX($A$6:B1662),"")</f>
        <v>662</v>
      </c>
      <c r="B1654" s="126" t="s">
        <v>458</v>
      </c>
      <c r="C1654" s="120" t="s">
        <v>509</v>
      </c>
      <c r="D1654" s="120"/>
      <c r="E1654" s="122" t="s">
        <v>460</v>
      </c>
      <c r="F1654" s="123">
        <f>70*5*1.17/27</f>
        <v>15.166666666666666</v>
      </c>
      <c r="G1654" s="184">
        <v>0.1</v>
      </c>
      <c r="H1654" s="125">
        <f t="shared" ref="H1654:H1659" si="224">F1654*(1+G1654)</f>
        <v>16.683333333333334</v>
      </c>
      <c r="I1654" s="126" t="s">
        <v>461</v>
      </c>
      <c r="J1654" s="37">
        <f>$J$11</f>
        <v>0</v>
      </c>
      <c r="K1654" s="159">
        <f t="shared" ref="K1654:K1659" si="225">J1654*H1654</f>
        <v>0</v>
      </c>
      <c r="L1654" s="160"/>
    </row>
    <row r="1655" spans="1:12" x14ac:dyDescent="0.2">
      <c r="A1655" s="129">
        <f ca="1">IF(F1655&lt;&gt;"",1+MAX($A$6:B1663),"")</f>
        <v>663</v>
      </c>
      <c r="B1655" s="126" t="s">
        <v>458</v>
      </c>
      <c r="C1655" s="120" t="s">
        <v>509</v>
      </c>
      <c r="D1655" s="120"/>
      <c r="E1655" s="122" t="s">
        <v>485</v>
      </c>
      <c r="F1655" s="123">
        <f>70*1.17*2</f>
        <v>163.79999999999998</v>
      </c>
      <c r="G1655" s="184">
        <v>0.1</v>
      </c>
      <c r="H1655" s="125">
        <f t="shared" si="224"/>
        <v>180.18</v>
      </c>
      <c r="I1655" s="126" t="s">
        <v>463</v>
      </c>
      <c r="J1655" s="37">
        <f>K$70</f>
        <v>0</v>
      </c>
      <c r="K1655" s="159">
        <f t="shared" si="225"/>
        <v>0</v>
      </c>
      <c r="L1655" s="160"/>
    </row>
    <row r="1656" spans="1:12" x14ac:dyDescent="0.2">
      <c r="A1656" s="129">
        <f ca="1">IF(F1656&lt;&gt;"",1+MAX($A$6:B1664),"")</f>
        <v>664</v>
      </c>
      <c r="B1656" s="126" t="s">
        <v>458</v>
      </c>
      <c r="C1656" s="120" t="s">
        <v>509</v>
      </c>
      <c r="D1656" s="120"/>
      <c r="E1656" s="122" t="s">
        <v>464</v>
      </c>
      <c r="F1656" s="123">
        <f>70*6*2/27</f>
        <v>31.111111111111111</v>
      </c>
      <c r="G1656" s="184">
        <v>0.1</v>
      </c>
      <c r="H1656" s="125">
        <f t="shared" si="224"/>
        <v>34.222222222222221</v>
      </c>
      <c r="I1656" s="126" t="s">
        <v>461</v>
      </c>
      <c r="J1656" s="37">
        <f>$J$13</f>
        <v>0</v>
      </c>
      <c r="K1656" s="159">
        <f t="shared" si="225"/>
        <v>0</v>
      </c>
      <c r="L1656" s="160"/>
    </row>
    <row r="1657" spans="1:12" x14ac:dyDescent="0.2">
      <c r="A1657" s="129">
        <f ca="1">IF(F1657&lt;&gt;"",1+MAX($A$6:B1665),"")</f>
        <v>665</v>
      </c>
      <c r="B1657" s="126" t="s">
        <v>458</v>
      </c>
      <c r="C1657" s="120" t="s">
        <v>509</v>
      </c>
      <c r="D1657" s="120"/>
      <c r="E1657" s="122" t="s">
        <v>465</v>
      </c>
      <c r="F1657" s="123">
        <f>F1656-F1654</f>
        <v>15.944444444444445</v>
      </c>
      <c r="G1657" s="184">
        <v>0.1</v>
      </c>
      <c r="H1657" s="125">
        <f t="shared" si="224"/>
        <v>17.538888888888891</v>
      </c>
      <c r="I1657" s="126" t="s">
        <v>461</v>
      </c>
      <c r="J1657" s="37">
        <f>$J$14</f>
        <v>0</v>
      </c>
      <c r="K1657" s="159">
        <f t="shared" si="225"/>
        <v>0</v>
      </c>
      <c r="L1657" s="160"/>
    </row>
    <row r="1658" spans="1:12" x14ac:dyDescent="0.2">
      <c r="A1658" s="129">
        <f ca="1">IF(F1658&lt;&gt;"",1+MAX($A$6:B1666),"")</f>
        <v>666</v>
      </c>
      <c r="B1658" s="126" t="s">
        <v>458</v>
      </c>
      <c r="C1658" s="120" t="s">
        <v>509</v>
      </c>
      <c r="D1658" s="120"/>
      <c r="E1658" s="122" t="s">
        <v>510</v>
      </c>
      <c r="F1658" s="123">
        <f>2*70*0.668*1.2</f>
        <v>112.224</v>
      </c>
      <c r="G1658" s="184">
        <v>0.1</v>
      </c>
      <c r="H1658" s="125">
        <f t="shared" si="224"/>
        <v>123.44640000000001</v>
      </c>
      <c r="I1658" s="126" t="s">
        <v>292</v>
      </c>
      <c r="J1658" s="37">
        <f t="shared" ref="J1658:J1659" si="226">$J$15</f>
        <v>0</v>
      </c>
      <c r="K1658" s="159">
        <f t="shared" si="225"/>
        <v>0</v>
      </c>
      <c r="L1658" s="160"/>
    </row>
    <row r="1659" spans="1:12" x14ac:dyDescent="0.2">
      <c r="A1659" s="129">
        <f ca="1">IF(F1659&lt;&gt;"",1+MAX($A$6:B1667),"")</f>
        <v>667</v>
      </c>
      <c r="B1659" s="126" t="s">
        <v>458</v>
      </c>
      <c r="C1659" s="120" t="s">
        <v>509</v>
      </c>
      <c r="D1659" s="120"/>
      <c r="E1659" s="122" t="s">
        <v>511</v>
      </c>
      <c r="F1659" s="123">
        <f>70*5*1.043*1.2*2</f>
        <v>876.11999999999989</v>
      </c>
      <c r="G1659" s="184">
        <v>0.1</v>
      </c>
      <c r="H1659" s="125">
        <f t="shared" si="224"/>
        <v>963.73199999999997</v>
      </c>
      <c r="I1659" s="126" t="s">
        <v>292</v>
      </c>
      <c r="J1659" s="37">
        <f t="shared" si="226"/>
        <v>0</v>
      </c>
      <c r="K1659" s="159">
        <f t="shared" si="225"/>
        <v>0</v>
      </c>
      <c r="L1659" s="160"/>
    </row>
    <row r="1660" spans="1:12" ht="63" x14ac:dyDescent="0.2">
      <c r="A1660" s="129" t="str">
        <f>IF(F1660&lt;&gt;"",1+MAX($A$6:B1668),"")</f>
        <v/>
      </c>
      <c r="B1660" s="126"/>
      <c r="C1660" s="120"/>
      <c r="D1660" s="183"/>
      <c r="E1660" s="172" t="s">
        <v>512</v>
      </c>
      <c r="F1660" s="123"/>
      <c r="G1660" s="124"/>
      <c r="H1660" s="125"/>
      <c r="I1660" s="126"/>
      <c r="J1660" s="37"/>
      <c r="K1660" s="159"/>
      <c r="L1660" s="160"/>
    </row>
    <row r="1661" spans="1:12" x14ac:dyDescent="0.2">
      <c r="A1661" s="129">
        <f ca="1">IF(F1661&lt;&gt;"",1+MAX($A$6:B1669),"")</f>
        <v>668</v>
      </c>
      <c r="B1661" s="126" t="s">
        <v>458</v>
      </c>
      <c r="C1661" s="120" t="s">
        <v>509</v>
      </c>
      <c r="D1661" s="120"/>
      <c r="E1661" s="122" t="s">
        <v>460</v>
      </c>
      <c r="F1661" s="123">
        <f>75*3*1.17/27</f>
        <v>9.75</v>
      </c>
      <c r="G1661" s="184">
        <v>0.1</v>
      </c>
      <c r="H1661" s="125">
        <f t="shared" ref="H1661:H1666" si="227">F1661*(1+G1661)</f>
        <v>10.725000000000001</v>
      </c>
      <c r="I1661" s="126" t="s">
        <v>461</v>
      </c>
      <c r="J1661" s="37">
        <f>$J$11</f>
        <v>0</v>
      </c>
      <c r="K1661" s="159">
        <f t="shared" ref="K1661:K1666" si="228">J1661*H1661</f>
        <v>0</v>
      </c>
      <c r="L1661" s="160"/>
    </row>
    <row r="1662" spans="1:12" x14ac:dyDescent="0.2">
      <c r="A1662" s="129">
        <f ca="1">IF(F1662&lt;&gt;"",1+MAX($A$6:B1670),"")</f>
        <v>669</v>
      </c>
      <c r="B1662" s="126" t="s">
        <v>458</v>
      </c>
      <c r="C1662" s="120" t="s">
        <v>509</v>
      </c>
      <c r="D1662" s="120"/>
      <c r="E1662" s="122" t="s">
        <v>485</v>
      </c>
      <c r="F1662" s="123">
        <f>75*1.17*2</f>
        <v>175.5</v>
      </c>
      <c r="G1662" s="184">
        <v>0.1</v>
      </c>
      <c r="H1662" s="125">
        <f t="shared" si="227"/>
        <v>193.05</v>
      </c>
      <c r="I1662" s="126" t="s">
        <v>463</v>
      </c>
      <c r="J1662" s="37">
        <f>K$70</f>
        <v>0</v>
      </c>
      <c r="K1662" s="159">
        <f t="shared" si="228"/>
        <v>0</v>
      </c>
      <c r="L1662" s="160"/>
    </row>
    <row r="1663" spans="1:12" x14ac:dyDescent="0.2">
      <c r="A1663" s="129">
        <f ca="1">IF(F1663&lt;&gt;"",1+MAX($A$6:B1671),"")</f>
        <v>670</v>
      </c>
      <c r="B1663" s="126" t="s">
        <v>458</v>
      </c>
      <c r="C1663" s="120" t="s">
        <v>509</v>
      </c>
      <c r="D1663" s="120"/>
      <c r="E1663" s="122" t="s">
        <v>464</v>
      </c>
      <c r="F1663" s="123">
        <f>75*4*2/27</f>
        <v>22.222222222222221</v>
      </c>
      <c r="G1663" s="184">
        <v>0.1</v>
      </c>
      <c r="H1663" s="125">
        <f t="shared" si="227"/>
        <v>24.444444444444446</v>
      </c>
      <c r="I1663" s="126" t="s">
        <v>461</v>
      </c>
      <c r="J1663" s="37">
        <f>$J$13</f>
        <v>0</v>
      </c>
      <c r="K1663" s="159">
        <f t="shared" si="228"/>
        <v>0</v>
      </c>
      <c r="L1663" s="160"/>
    </row>
    <row r="1664" spans="1:12" x14ac:dyDescent="0.2">
      <c r="A1664" s="129">
        <f ca="1">IF(F1664&lt;&gt;"",1+MAX($A$6:B1672),"")</f>
        <v>671</v>
      </c>
      <c r="B1664" s="126" t="s">
        <v>458</v>
      </c>
      <c r="C1664" s="120" t="s">
        <v>509</v>
      </c>
      <c r="D1664" s="120"/>
      <c r="E1664" s="122" t="s">
        <v>465</v>
      </c>
      <c r="F1664" s="123">
        <f>F1663-F1661</f>
        <v>12.472222222222221</v>
      </c>
      <c r="G1664" s="184">
        <v>0.1</v>
      </c>
      <c r="H1664" s="125">
        <f t="shared" si="227"/>
        <v>13.719444444444445</v>
      </c>
      <c r="I1664" s="126" t="s">
        <v>461</v>
      </c>
      <c r="J1664" s="37">
        <f>$J$14</f>
        <v>0</v>
      </c>
      <c r="K1664" s="159">
        <f t="shared" si="228"/>
        <v>0</v>
      </c>
      <c r="L1664" s="160"/>
    </row>
    <row r="1665" spans="1:12" x14ac:dyDescent="0.2">
      <c r="A1665" s="129">
        <f ca="1">IF(F1665&lt;&gt;"",1+MAX($A$6:B1673),"")</f>
        <v>672</v>
      </c>
      <c r="B1665" s="126" t="s">
        <v>458</v>
      </c>
      <c r="C1665" s="120" t="s">
        <v>509</v>
      </c>
      <c r="D1665" s="120"/>
      <c r="E1665" s="122" t="s">
        <v>510</v>
      </c>
      <c r="F1665" s="123">
        <f>2*75*0.668*1.2</f>
        <v>120.24</v>
      </c>
      <c r="G1665" s="184">
        <v>0.1</v>
      </c>
      <c r="H1665" s="125">
        <f t="shared" si="227"/>
        <v>132.26400000000001</v>
      </c>
      <c r="I1665" s="126" t="s">
        <v>292</v>
      </c>
      <c r="J1665" s="37">
        <f t="shared" ref="J1665:J1666" si="229">$J$15</f>
        <v>0</v>
      </c>
      <c r="K1665" s="159">
        <f t="shared" si="228"/>
        <v>0</v>
      </c>
      <c r="L1665" s="160"/>
    </row>
    <row r="1666" spans="1:12" x14ac:dyDescent="0.2">
      <c r="A1666" s="129">
        <f ca="1">IF(F1666&lt;&gt;"",1+MAX($A$6:B1674),"")</f>
        <v>673</v>
      </c>
      <c r="B1666" s="126" t="s">
        <v>458</v>
      </c>
      <c r="C1666" s="120" t="s">
        <v>509</v>
      </c>
      <c r="D1666" s="120"/>
      <c r="E1666" s="122" t="s">
        <v>511</v>
      </c>
      <c r="F1666" s="123">
        <f>75*3*1.043*1.2*2</f>
        <v>563.21999999999991</v>
      </c>
      <c r="G1666" s="184">
        <v>0.1</v>
      </c>
      <c r="H1666" s="125">
        <f t="shared" si="227"/>
        <v>619.54199999999992</v>
      </c>
      <c r="I1666" s="126" t="s">
        <v>292</v>
      </c>
      <c r="J1666" s="37">
        <f t="shared" si="229"/>
        <v>0</v>
      </c>
      <c r="K1666" s="159">
        <f t="shared" si="228"/>
        <v>0</v>
      </c>
      <c r="L1666" s="160"/>
    </row>
    <row r="1667" spans="1:12" ht="63" x14ac:dyDescent="0.2">
      <c r="A1667" s="129" t="str">
        <f>IF(F1667&lt;&gt;"",1+MAX($A$6:B1675),"")</f>
        <v/>
      </c>
      <c r="B1667" s="126"/>
      <c r="C1667" s="120"/>
      <c r="D1667" s="183"/>
      <c r="E1667" s="172" t="s">
        <v>513</v>
      </c>
      <c r="F1667" s="123"/>
      <c r="G1667" s="124"/>
      <c r="H1667" s="125"/>
      <c r="I1667" s="126"/>
      <c r="J1667" s="37"/>
      <c r="K1667" s="159"/>
      <c r="L1667" s="160"/>
    </row>
    <row r="1668" spans="1:12" x14ac:dyDescent="0.2">
      <c r="A1668" s="129">
        <f ca="1">IF(F1668&lt;&gt;"",1+MAX($A$6:B1676),"")</f>
        <v>674</v>
      </c>
      <c r="B1668" s="126" t="s">
        <v>458</v>
      </c>
      <c r="C1668" s="120" t="s">
        <v>509</v>
      </c>
      <c r="D1668" s="120"/>
      <c r="E1668" s="122" t="s">
        <v>460</v>
      </c>
      <c r="F1668" s="123">
        <f>94*4.5*1.17/27</f>
        <v>18.329999999999998</v>
      </c>
      <c r="G1668" s="184">
        <v>0.1</v>
      </c>
      <c r="H1668" s="125">
        <f t="shared" ref="H1668:H1673" si="230">F1668*(1+G1668)</f>
        <v>20.163</v>
      </c>
      <c r="I1668" s="126" t="s">
        <v>461</v>
      </c>
      <c r="J1668" s="37">
        <f>$J$11</f>
        <v>0</v>
      </c>
      <c r="K1668" s="159">
        <f t="shared" ref="K1668:K1673" si="231">J1668*H1668</f>
        <v>0</v>
      </c>
      <c r="L1668" s="160"/>
    </row>
    <row r="1669" spans="1:12" x14ac:dyDescent="0.2">
      <c r="A1669" s="129">
        <f ca="1">IF(F1669&lt;&gt;"",1+MAX($A$6:B1677),"")</f>
        <v>675</v>
      </c>
      <c r="B1669" s="126" t="s">
        <v>458</v>
      </c>
      <c r="C1669" s="120" t="s">
        <v>509</v>
      </c>
      <c r="D1669" s="120"/>
      <c r="E1669" s="122" t="s">
        <v>485</v>
      </c>
      <c r="F1669" s="123">
        <f>94*1.17*2</f>
        <v>219.95999999999998</v>
      </c>
      <c r="G1669" s="184">
        <v>0.1</v>
      </c>
      <c r="H1669" s="125">
        <f t="shared" si="230"/>
        <v>241.95599999999999</v>
      </c>
      <c r="I1669" s="126" t="s">
        <v>463</v>
      </c>
      <c r="J1669" s="37">
        <f>K$70</f>
        <v>0</v>
      </c>
      <c r="K1669" s="159">
        <f t="shared" si="231"/>
        <v>0</v>
      </c>
      <c r="L1669" s="160"/>
    </row>
    <row r="1670" spans="1:12" x14ac:dyDescent="0.2">
      <c r="A1670" s="129">
        <f ca="1">IF(F1670&lt;&gt;"",1+MAX($A$6:B1678),"")</f>
        <v>676</v>
      </c>
      <c r="B1670" s="126" t="s">
        <v>458</v>
      </c>
      <c r="C1670" s="120" t="s">
        <v>509</v>
      </c>
      <c r="D1670" s="120"/>
      <c r="E1670" s="122" t="s">
        <v>464</v>
      </c>
      <c r="F1670" s="123">
        <f>94*5.5*2/27</f>
        <v>38.296296296296298</v>
      </c>
      <c r="G1670" s="184">
        <v>0.1</v>
      </c>
      <c r="H1670" s="125">
        <f t="shared" si="230"/>
        <v>42.125925925925934</v>
      </c>
      <c r="I1670" s="126" t="s">
        <v>461</v>
      </c>
      <c r="J1670" s="37">
        <f>$J$13</f>
        <v>0</v>
      </c>
      <c r="K1670" s="159">
        <f t="shared" si="231"/>
        <v>0</v>
      </c>
      <c r="L1670" s="160"/>
    </row>
    <row r="1671" spans="1:12" x14ac:dyDescent="0.2">
      <c r="A1671" s="129">
        <f ca="1">IF(F1671&lt;&gt;"",1+MAX($A$6:B1679),"")</f>
        <v>677</v>
      </c>
      <c r="B1671" s="126" t="s">
        <v>458</v>
      </c>
      <c r="C1671" s="120" t="s">
        <v>509</v>
      </c>
      <c r="D1671" s="120"/>
      <c r="E1671" s="122" t="s">
        <v>465</v>
      </c>
      <c r="F1671" s="123">
        <f>F1670-F1668</f>
        <v>19.966296296296299</v>
      </c>
      <c r="G1671" s="184">
        <v>0.1</v>
      </c>
      <c r="H1671" s="125">
        <f t="shared" si="230"/>
        <v>21.96292592592593</v>
      </c>
      <c r="I1671" s="126" t="s">
        <v>461</v>
      </c>
      <c r="J1671" s="37">
        <f>$J$14</f>
        <v>0</v>
      </c>
      <c r="K1671" s="159">
        <f t="shared" si="231"/>
        <v>0</v>
      </c>
      <c r="L1671" s="160"/>
    </row>
    <row r="1672" spans="1:12" x14ac:dyDescent="0.2">
      <c r="A1672" s="129">
        <f ca="1">IF(F1672&lt;&gt;"",1+MAX($A$6:B1680),"")</f>
        <v>678</v>
      </c>
      <c r="B1672" s="126" t="s">
        <v>458</v>
      </c>
      <c r="C1672" s="120" t="s">
        <v>509</v>
      </c>
      <c r="D1672" s="120"/>
      <c r="E1672" s="122" t="s">
        <v>510</v>
      </c>
      <c r="F1672" s="123">
        <f>2*94*0.668*1.2</f>
        <v>150.70079999999999</v>
      </c>
      <c r="G1672" s="184">
        <v>0.1</v>
      </c>
      <c r="H1672" s="125">
        <f t="shared" si="230"/>
        <v>165.77088000000001</v>
      </c>
      <c r="I1672" s="126" t="s">
        <v>292</v>
      </c>
      <c r="J1672" s="37">
        <f t="shared" ref="J1672:J1673" si="232">$J$15</f>
        <v>0</v>
      </c>
      <c r="K1672" s="159">
        <f t="shared" si="231"/>
        <v>0</v>
      </c>
      <c r="L1672" s="160"/>
    </row>
    <row r="1673" spans="1:12" x14ac:dyDescent="0.2">
      <c r="A1673" s="129">
        <f ca="1">IF(F1673&lt;&gt;"",1+MAX($A$6:B1681),"")</f>
        <v>679</v>
      </c>
      <c r="B1673" s="126" t="s">
        <v>458</v>
      </c>
      <c r="C1673" s="120" t="s">
        <v>509</v>
      </c>
      <c r="D1673" s="120"/>
      <c r="E1673" s="122" t="s">
        <v>511</v>
      </c>
      <c r="F1673" s="123">
        <f>94*4.5*1.043*1.2*2</f>
        <v>1058.8535999999999</v>
      </c>
      <c r="G1673" s="184">
        <v>0.1</v>
      </c>
      <c r="H1673" s="125">
        <f t="shared" si="230"/>
        <v>1164.7389599999999</v>
      </c>
      <c r="I1673" s="126" t="s">
        <v>292</v>
      </c>
      <c r="J1673" s="37">
        <f t="shared" si="232"/>
        <v>0</v>
      </c>
      <c r="K1673" s="159">
        <f t="shared" si="231"/>
        <v>0</v>
      </c>
      <c r="L1673" s="160"/>
    </row>
    <row r="1674" spans="1:12" ht="63" x14ac:dyDescent="0.2">
      <c r="A1674" s="129" t="str">
        <f>IF(F1674&lt;&gt;"",1+MAX($A$6:B1682),"")</f>
        <v/>
      </c>
      <c r="B1674" s="126"/>
      <c r="C1674" s="120"/>
      <c r="D1674" s="183"/>
      <c r="E1674" s="172" t="s">
        <v>514</v>
      </c>
      <c r="F1674" s="123"/>
      <c r="G1674" s="124"/>
      <c r="H1674" s="125"/>
      <c r="I1674" s="126"/>
      <c r="J1674" s="37"/>
      <c r="K1674" s="159"/>
      <c r="L1674" s="160"/>
    </row>
    <row r="1675" spans="1:12" x14ac:dyDescent="0.2">
      <c r="A1675" s="129">
        <f ca="1">IF(F1675&lt;&gt;"",1+MAX($A$6:B1683),"")</f>
        <v>680</v>
      </c>
      <c r="B1675" s="126" t="s">
        <v>458</v>
      </c>
      <c r="C1675" s="120" t="s">
        <v>509</v>
      </c>
      <c r="D1675" s="120"/>
      <c r="E1675" s="122" t="s">
        <v>460</v>
      </c>
      <c r="F1675" s="123">
        <f>48*2.5*1.17/27</f>
        <v>5.1999999999999993</v>
      </c>
      <c r="G1675" s="184">
        <v>0.1</v>
      </c>
      <c r="H1675" s="125">
        <f t="shared" ref="H1675:H1680" si="233">F1675*(1+G1675)</f>
        <v>5.72</v>
      </c>
      <c r="I1675" s="126" t="s">
        <v>461</v>
      </c>
      <c r="J1675" s="37">
        <f>$J$11</f>
        <v>0</v>
      </c>
      <c r="K1675" s="159">
        <f t="shared" ref="K1675:K1680" si="234">J1675*H1675</f>
        <v>0</v>
      </c>
      <c r="L1675" s="160"/>
    </row>
    <row r="1676" spans="1:12" x14ac:dyDescent="0.2">
      <c r="A1676" s="129">
        <f ca="1">IF(F1676&lt;&gt;"",1+MAX($A$6:B1684),"")</f>
        <v>681</v>
      </c>
      <c r="B1676" s="126" t="s">
        <v>458</v>
      </c>
      <c r="C1676" s="120" t="s">
        <v>509</v>
      </c>
      <c r="D1676" s="120"/>
      <c r="E1676" s="122" t="s">
        <v>485</v>
      </c>
      <c r="F1676" s="123">
        <f>48*1.17*2</f>
        <v>112.32</v>
      </c>
      <c r="G1676" s="184">
        <v>0.1</v>
      </c>
      <c r="H1676" s="125">
        <f t="shared" si="233"/>
        <v>123.55200000000001</v>
      </c>
      <c r="I1676" s="126" t="s">
        <v>463</v>
      </c>
      <c r="J1676" s="37">
        <f>K$70</f>
        <v>0</v>
      </c>
      <c r="K1676" s="159">
        <f t="shared" si="234"/>
        <v>0</v>
      </c>
      <c r="L1676" s="160"/>
    </row>
    <row r="1677" spans="1:12" x14ac:dyDescent="0.2">
      <c r="A1677" s="129">
        <f ca="1">IF(F1677&lt;&gt;"",1+MAX($A$6:B1685),"")</f>
        <v>682</v>
      </c>
      <c r="B1677" s="126" t="s">
        <v>458</v>
      </c>
      <c r="C1677" s="120" t="s">
        <v>509</v>
      </c>
      <c r="D1677" s="120"/>
      <c r="E1677" s="122" t="s">
        <v>464</v>
      </c>
      <c r="F1677" s="123">
        <f>48*3.5*2/27</f>
        <v>12.444444444444445</v>
      </c>
      <c r="G1677" s="184">
        <v>0.1</v>
      </c>
      <c r="H1677" s="125">
        <f t="shared" si="233"/>
        <v>13.68888888888889</v>
      </c>
      <c r="I1677" s="126" t="s">
        <v>461</v>
      </c>
      <c r="J1677" s="37">
        <f>$J$13</f>
        <v>0</v>
      </c>
      <c r="K1677" s="159">
        <f t="shared" si="234"/>
        <v>0</v>
      </c>
      <c r="L1677" s="160"/>
    </row>
    <row r="1678" spans="1:12" x14ac:dyDescent="0.2">
      <c r="A1678" s="129">
        <f ca="1">IF(F1678&lt;&gt;"",1+MAX($A$6:B1686),"")</f>
        <v>683</v>
      </c>
      <c r="B1678" s="126" t="s">
        <v>458</v>
      </c>
      <c r="C1678" s="120" t="s">
        <v>509</v>
      </c>
      <c r="D1678" s="120"/>
      <c r="E1678" s="122" t="s">
        <v>465</v>
      </c>
      <c r="F1678" s="123">
        <f>F1677-F1675</f>
        <v>7.2444444444444454</v>
      </c>
      <c r="G1678" s="184">
        <v>0.1</v>
      </c>
      <c r="H1678" s="125">
        <f t="shared" si="233"/>
        <v>7.9688888888888902</v>
      </c>
      <c r="I1678" s="126" t="s">
        <v>461</v>
      </c>
      <c r="J1678" s="37">
        <f>$J$14</f>
        <v>0</v>
      </c>
      <c r="K1678" s="159">
        <f t="shared" si="234"/>
        <v>0</v>
      </c>
      <c r="L1678" s="160"/>
    </row>
    <row r="1679" spans="1:12" x14ac:dyDescent="0.2">
      <c r="A1679" s="129">
        <f ca="1">IF(F1679&lt;&gt;"",1+MAX($A$6:B1687),"")</f>
        <v>684</v>
      </c>
      <c r="B1679" s="126" t="s">
        <v>458</v>
      </c>
      <c r="C1679" s="120" t="s">
        <v>509</v>
      </c>
      <c r="D1679" s="120"/>
      <c r="E1679" s="122" t="s">
        <v>510</v>
      </c>
      <c r="F1679" s="123">
        <f>2*48*0.668*1.2</f>
        <v>76.953599999999994</v>
      </c>
      <c r="G1679" s="184">
        <v>0.1</v>
      </c>
      <c r="H1679" s="125">
        <f t="shared" si="233"/>
        <v>84.648960000000002</v>
      </c>
      <c r="I1679" s="126" t="s">
        <v>292</v>
      </c>
      <c r="J1679" s="37">
        <f t="shared" ref="J1679:J1680" si="235">$J$15</f>
        <v>0</v>
      </c>
      <c r="K1679" s="159">
        <f t="shared" si="234"/>
        <v>0</v>
      </c>
      <c r="L1679" s="160"/>
    </row>
    <row r="1680" spans="1:12" x14ac:dyDescent="0.2">
      <c r="A1680" s="129">
        <f ca="1">IF(F1680&lt;&gt;"",1+MAX($A$6:B1688),"")</f>
        <v>685</v>
      </c>
      <c r="B1680" s="126" t="s">
        <v>458</v>
      </c>
      <c r="C1680" s="120" t="s">
        <v>509</v>
      </c>
      <c r="D1680" s="120"/>
      <c r="E1680" s="122" t="s">
        <v>511</v>
      </c>
      <c r="F1680" s="123">
        <f>48*3.5*1.043*1.2*2</f>
        <v>420.53759999999994</v>
      </c>
      <c r="G1680" s="184">
        <v>0.1</v>
      </c>
      <c r="H1680" s="125">
        <f t="shared" si="233"/>
        <v>462.59135999999995</v>
      </c>
      <c r="I1680" s="126" t="s">
        <v>292</v>
      </c>
      <c r="J1680" s="37">
        <f t="shared" si="235"/>
        <v>0</v>
      </c>
      <c r="K1680" s="159">
        <f t="shared" si="234"/>
        <v>0</v>
      </c>
      <c r="L1680" s="160"/>
    </row>
    <row r="1681" spans="1:12" ht="63" x14ac:dyDescent="0.2">
      <c r="A1681" s="129" t="str">
        <f>IF(F1681&lt;&gt;"",1+MAX($A$6:B1689),"")</f>
        <v/>
      </c>
      <c r="B1681" s="126"/>
      <c r="C1681" s="120"/>
      <c r="D1681" s="183"/>
      <c r="E1681" s="172" t="s">
        <v>515</v>
      </c>
      <c r="F1681" s="123"/>
      <c r="G1681" s="124"/>
      <c r="H1681" s="125"/>
      <c r="I1681" s="126"/>
      <c r="J1681" s="37"/>
      <c r="K1681" s="159"/>
      <c r="L1681" s="160"/>
    </row>
    <row r="1682" spans="1:12" x14ac:dyDescent="0.2">
      <c r="A1682" s="129">
        <f ca="1">IF(F1682&lt;&gt;"",1+MAX($A$6:B1690),"")</f>
        <v>686</v>
      </c>
      <c r="B1682" s="126" t="s">
        <v>458</v>
      </c>
      <c r="C1682" s="208" t="s">
        <v>302</v>
      </c>
      <c r="D1682" s="120"/>
      <c r="E1682" s="122" t="s">
        <v>460</v>
      </c>
      <c r="F1682" s="123">
        <f>9.5*7.25*1.17/27</f>
        <v>2.9845833333333331</v>
      </c>
      <c r="G1682" s="184">
        <v>0.1</v>
      </c>
      <c r="H1682" s="125">
        <f t="shared" ref="H1682:H1686" si="236">F1682*(1+G1682)</f>
        <v>3.2830416666666666</v>
      </c>
      <c r="I1682" s="126" t="s">
        <v>461</v>
      </c>
      <c r="J1682" s="37">
        <f>$J$11</f>
        <v>0</v>
      </c>
      <c r="K1682" s="159">
        <f t="shared" ref="K1682:K1686" si="237">J1682*H1682</f>
        <v>0</v>
      </c>
      <c r="L1682" s="160"/>
    </row>
    <row r="1683" spans="1:12" x14ac:dyDescent="0.2">
      <c r="A1683" s="129">
        <f ca="1">IF(F1683&lt;&gt;"",1+MAX($A$6:B1691),"")</f>
        <v>687</v>
      </c>
      <c r="B1683" s="126" t="s">
        <v>458</v>
      </c>
      <c r="C1683" s="208" t="s">
        <v>302</v>
      </c>
      <c r="D1683" s="120"/>
      <c r="E1683" s="122" t="s">
        <v>485</v>
      </c>
      <c r="F1683" s="123">
        <f>2*(9.5+7.25)*1.17</f>
        <v>39.195</v>
      </c>
      <c r="G1683" s="184">
        <v>0.1</v>
      </c>
      <c r="H1683" s="125">
        <f t="shared" si="236"/>
        <v>43.114500000000007</v>
      </c>
      <c r="I1683" s="126" t="s">
        <v>463</v>
      </c>
      <c r="J1683" s="37">
        <f>K$70</f>
        <v>0</v>
      </c>
      <c r="K1683" s="159">
        <f t="shared" si="237"/>
        <v>0</v>
      </c>
      <c r="L1683" s="160"/>
    </row>
    <row r="1684" spans="1:12" x14ac:dyDescent="0.2">
      <c r="A1684" s="129">
        <f ca="1">IF(F1684&lt;&gt;"",1+MAX($A$6:B1692),"")</f>
        <v>688</v>
      </c>
      <c r="B1684" s="126" t="s">
        <v>458</v>
      </c>
      <c r="C1684" s="208" t="s">
        <v>302</v>
      </c>
      <c r="D1684" s="120"/>
      <c r="E1684" s="122" t="s">
        <v>464</v>
      </c>
      <c r="F1684" s="123">
        <f>10.5*8.25*2/27</f>
        <v>6.416666666666667</v>
      </c>
      <c r="G1684" s="184">
        <v>0.1</v>
      </c>
      <c r="H1684" s="125">
        <f t="shared" si="236"/>
        <v>7.0583333333333345</v>
      </c>
      <c r="I1684" s="126" t="s">
        <v>461</v>
      </c>
      <c r="J1684" s="37">
        <f>$J$13</f>
        <v>0</v>
      </c>
      <c r="K1684" s="159">
        <f t="shared" si="237"/>
        <v>0</v>
      </c>
      <c r="L1684" s="160"/>
    </row>
    <row r="1685" spans="1:12" x14ac:dyDescent="0.2">
      <c r="A1685" s="129">
        <f ca="1">IF(F1685&lt;&gt;"",1+MAX($A$6:B1693),"")</f>
        <v>689</v>
      </c>
      <c r="B1685" s="126" t="s">
        <v>458</v>
      </c>
      <c r="C1685" s="208" t="s">
        <v>302</v>
      </c>
      <c r="D1685" s="120"/>
      <c r="E1685" s="122" t="s">
        <v>465</v>
      </c>
      <c r="F1685" s="123">
        <f>F1684-F1682</f>
        <v>3.4320833333333338</v>
      </c>
      <c r="G1685" s="184">
        <v>0.1</v>
      </c>
      <c r="H1685" s="125">
        <f t="shared" si="236"/>
        <v>3.7752916666666674</v>
      </c>
      <c r="I1685" s="126" t="s">
        <v>461</v>
      </c>
      <c r="J1685" s="37">
        <f>$J$14</f>
        <v>0</v>
      </c>
      <c r="K1685" s="159">
        <f t="shared" si="237"/>
        <v>0</v>
      </c>
      <c r="L1685" s="160"/>
    </row>
    <row r="1686" spans="1:12" x14ac:dyDescent="0.2">
      <c r="A1686" s="129">
        <f ca="1">IF(F1686&lt;&gt;"",1+MAX($A$6:B1694),"")</f>
        <v>690</v>
      </c>
      <c r="B1686" s="126" t="s">
        <v>458</v>
      </c>
      <c r="C1686" s="208" t="s">
        <v>302</v>
      </c>
      <c r="D1686" s="120"/>
      <c r="E1686" s="122" t="s">
        <v>516</v>
      </c>
      <c r="F1686" s="123">
        <f>1.043*1.2*2*2*9.5*7.25</f>
        <v>344.81579999999997</v>
      </c>
      <c r="G1686" s="184">
        <v>0.1</v>
      </c>
      <c r="H1686" s="125">
        <f t="shared" si="236"/>
        <v>379.29737999999998</v>
      </c>
      <c r="I1686" s="126" t="s">
        <v>292</v>
      </c>
      <c r="J1686" s="37">
        <f>$J$15</f>
        <v>0</v>
      </c>
      <c r="K1686" s="159">
        <f t="shared" si="237"/>
        <v>0</v>
      </c>
      <c r="L1686" s="160"/>
    </row>
    <row r="1687" spans="1:12" x14ac:dyDescent="0.2">
      <c r="A1687" s="129" t="str">
        <f>IF(F1687&lt;&gt;"",1+MAX($A$6:B1695),"")</f>
        <v/>
      </c>
      <c r="B1687" s="126"/>
      <c r="C1687" s="120"/>
      <c r="D1687" s="120"/>
      <c r="E1687" s="122"/>
      <c r="F1687" s="123"/>
      <c r="G1687" s="184"/>
      <c r="H1687" s="125"/>
      <c r="I1687" s="126"/>
      <c r="J1687" s="37"/>
      <c r="K1687" s="159"/>
      <c r="L1687" s="160"/>
    </row>
    <row r="1688" spans="1:12" x14ac:dyDescent="0.2">
      <c r="A1688" s="129" t="str">
        <f>IF(F1688&lt;&gt;"",1+MAX($A$6:B1696),"")</f>
        <v/>
      </c>
      <c r="B1688" s="126"/>
      <c r="C1688" s="120"/>
      <c r="D1688" s="120"/>
      <c r="E1688" s="172" t="s">
        <v>517</v>
      </c>
      <c r="F1688" s="123"/>
      <c r="G1688" s="184"/>
      <c r="H1688" s="125"/>
      <c r="I1688" s="126"/>
      <c r="J1688" s="23"/>
      <c r="K1688" s="207"/>
      <c r="L1688" s="160"/>
    </row>
    <row r="1689" spans="1:12" ht="63" x14ac:dyDescent="0.2">
      <c r="A1689" s="129" t="str">
        <f>IF(F1689&lt;&gt;"",1+MAX($A$6:B1697),"")</f>
        <v/>
      </c>
      <c r="B1689" s="126"/>
      <c r="C1689" s="120"/>
      <c r="D1689" s="183"/>
      <c r="E1689" s="172" t="s">
        <v>518</v>
      </c>
      <c r="F1689" s="123"/>
      <c r="G1689" s="124"/>
      <c r="H1689" s="125"/>
      <c r="I1689" s="126"/>
      <c r="J1689" s="37"/>
      <c r="K1689" s="159"/>
      <c r="L1689" s="160"/>
    </row>
    <row r="1690" spans="1:12" x14ac:dyDescent="0.2">
      <c r="A1690" s="129">
        <f ca="1">IF(F1690&lt;&gt;"",1+MAX($A$6:B1698),"")</f>
        <v>691</v>
      </c>
      <c r="B1690" s="126" t="s">
        <v>458</v>
      </c>
      <c r="C1690" s="120" t="s">
        <v>519</v>
      </c>
      <c r="D1690" s="120"/>
      <c r="E1690" s="122" t="s">
        <v>460</v>
      </c>
      <c r="F1690" s="123">
        <f>34*2*1.67/27</f>
        <v>4.2059259259259258</v>
      </c>
      <c r="G1690" s="184">
        <v>0.1</v>
      </c>
      <c r="H1690" s="125">
        <f t="shared" ref="H1690:H1696" si="238">F1690*(1+G1690)</f>
        <v>4.6265185185185187</v>
      </c>
      <c r="I1690" s="126" t="s">
        <v>461</v>
      </c>
      <c r="J1690" s="37">
        <f>$J$11</f>
        <v>0</v>
      </c>
      <c r="K1690" s="159">
        <f t="shared" ref="K1690:K1693" si="239">J1690*H1690</f>
        <v>0</v>
      </c>
      <c r="L1690" s="160"/>
    </row>
    <row r="1691" spans="1:12" x14ac:dyDescent="0.2">
      <c r="A1691" s="129">
        <f ca="1">IF(F1691&lt;&gt;"",1+MAX($A$6:B1699),"")</f>
        <v>692</v>
      </c>
      <c r="B1691" s="126" t="s">
        <v>458</v>
      </c>
      <c r="C1691" s="120" t="s">
        <v>519</v>
      </c>
      <c r="D1691" s="120"/>
      <c r="E1691" s="122" t="s">
        <v>520</v>
      </c>
      <c r="F1691" s="123">
        <f>34*1.67*2</f>
        <v>113.56</v>
      </c>
      <c r="G1691" s="184">
        <v>0.1</v>
      </c>
      <c r="H1691" s="125">
        <f t="shared" si="238"/>
        <v>124.91600000000001</v>
      </c>
      <c r="I1691" s="126" t="s">
        <v>463</v>
      </c>
      <c r="J1691" s="37">
        <f>K$70</f>
        <v>0</v>
      </c>
      <c r="K1691" s="159">
        <f t="shared" si="239"/>
        <v>0</v>
      </c>
      <c r="L1691" s="160"/>
    </row>
    <row r="1692" spans="1:12" x14ac:dyDescent="0.2">
      <c r="A1692" s="129">
        <f ca="1">IF(F1692&lt;&gt;"",1+MAX($A$6:B1700),"")</f>
        <v>693</v>
      </c>
      <c r="B1692" s="126" t="s">
        <v>458</v>
      </c>
      <c r="C1692" s="120" t="s">
        <v>519</v>
      </c>
      <c r="D1692" s="120"/>
      <c r="E1692" s="122" t="s">
        <v>464</v>
      </c>
      <c r="F1692" s="123">
        <f>34*3*1.67/27</f>
        <v>6.3088888888888892</v>
      </c>
      <c r="G1692" s="184">
        <v>0.1</v>
      </c>
      <c r="H1692" s="125">
        <f t="shared" si="238"/>
        <v>6.9397777777777785</v>
      </c>
      <c r="I1692" s="126" t="s">
        <v>461</v>
      </c>
      <c r="J1692" s="37">
        <f>$J$13</f>
        <v>0</v>
      </c>
      <c r="K1692" s="159">
        <f t="shared" si="239"/>
        <v>0</v>
      </c>
      <c r="L1692" s="160"/>
    </row>
    <row r="1693" spans="1:12" x14ac:dyDescent="0.2">
      <c r="A1693" s="129">
        <f ca="1">IF(F1693&lt;&gt;"",1+MAX($A$6:B1701),"")</f>
        <v>694</v>
      </c>
      <c r="B1693" s="126" t="s">
        <v>458</v>
      </c>
      <c r="C1693" s="120" t="s">
        <v>519</v>
      </c>
      <c r="D1693" s="120"/>
      <c r="E1693" s="122" t="s">
        <v>465</v>
      </c>
      <c r="F1693" s="123">
        <f>F1692-F1690</f>
        <v>2.1029629629629634</v>
      </c>
      <c r="G1693" s="184">
        <v>0.1</v>
      </c>
      <c r="H1693" s="125">
        <f t="shared" si="238"/>
        <v>2.3132592592592598</v>
      </c>
      <c r="I1693" s="126" t="s">
        <v>461</v>
      </c>
      <c r="J1693" s="37">
        <f>$J$14</f>
        <v>0</v>
      </c>
      <c r="K1693" s="159">
        <f t="shared" si="239"/>
        <v>0</v>
      </c>
      <c r="L1693" s="160"/>
    </row>
    <row r="1694" spans="1:12" x14ac:dyDescent="0.2">
      <c r="A1694" s="129">
        <f ca="1">IF(F1694&lt;&gt;"",1+MAX($A$6:B1702),"")</f>
        <v>695</v>
      </c>
      <c r="B1694" s="126" t="s">
        <v>458</v>
      </c>
      <c r="C1694" s="120" t="s">
        <v>519</v>
      </c>
      <c r="D1694" s="120"/>
      <c r="E1694" s="122" t="s">
        <v>521</v>
      </c>
      <c r="F1694" s="123">
        <f>4*34*2.67*1.2*2</f>
        <v>871.48799999999994</v>
      </c>
      <c r="G1694" s="184">
        <v>0.1</v>
      </c>
      <c r="H1694" s="125">
        <f t="shared" si="238"/>
        <v>958.63679999999999</v>
      </c>
      <c r="I1694" s="126" t="s">
        <v>292</v>
      </c>
      <c r="J1694" s="37">
        <f t="shared" ref="J1694:J1696" si="240">$J$15</f>
        <v>0</v>
      </c>
      <c r="K1694" s="159">
        <f t="shared" si="196"/>
        <v>0</v>
      </c>
      <c r="L1694" s="160"/>
    </row>
    <row r="1695" spans="1:12" x14ac:dyDescent="0.2">
      <c r="A1695" s="129">
        <f ca="1">IF(F1695&lt;&gt;"",1+MAX($A$6:B1703),"")</f>
        <v>696</v>
      </c>
      <c r="B1695" s="126" t="s">
        <v>458</v>
      </c>
      <c r="C1695" s="120" t="s">
        <v>519</v>
      </c>
      <c r="D1695" s="120"/>
      <c r="E1695" s="122" t="s">
        <v>522</v>
      </c>
      <c r="F1695" s="123">
        <f>34/0.83*(2*1.67+4*2+0.5)*0.668*1.2</f>
        <v>388.78565783132535</v>
      </c>
      <c r="G1695" s="184">
        <v>0.1</v>
      </c>
      <c r="H1695" s="125">
        <f t="shared" si="238"/>
        <v>427.66422361445791</v>
      </c>
      <c r="I1695" s="126" t="s">
        <v>292</v>
      </c>
      <c r="J1695" s="37">
        <f t="shared" si="240"/>
        <v>0</v>
      </c>
      <c r="K1695" s="159">
        <f t="shared" si="196"/>
        <v>0</v>
      </c>
      <c r="L1695" s="160"/>
    </row>
    <row r="1696" spans="1:12" x14ac:dyDescent="0.2">
      <c r="A1696" s="129">
        <f ca="1">IF(F1696&lt;&gt;"",1+MAX($A$6:B1704),"")</f>
        <v>697</v>
      </c>
      <c r="B1696" s="126" t="s">
        <v>458</v>
      </c>
      <c r="C1696" s="120" t="s">
        <v>523</v>
      </c>
      <c r="D1696" s="120"/>
      <c r="E1696" s="122" t="s">
        <v>524</v>
      </c>
      <c r="F1696" s="123">
        <f>35/1.33*3.5*1.043*1.2*2</f>
        <v>230.55789473684206</v>
      </c>
      <c r="G1696" s="184">
        <v>0.1</v>
      </c>
      <c r="H1696" s="125">
        <f t="shared" si="238"/>
        <v>253.61368421052629</v>
      </c>
      <c r="I1696" s="126" t="s">
        <v>292</v>
      </c>
      <c r="J1696" s="37">
        <f t="shared" si="240"/>
        <v>0</v>
      </c>
      <c r="K1696" s="159">
        <f t="shared" si="196"/>
        <v>0</v>
      </c>
      <c r="L1696" s="160"/>
    </row>
    <row r="1697" spans="1:12" x14ac:dyDescent="0.2">
      <c r="A1697" s="129" t="str">
        <f>IF(F1697&lt;&gt;"",1+MAX($A$6:B1705),"")</f>
        <v/>
      </c>
      <c r="B1697" s="126"/>
      <c r="C1697" s="120"/>
      <c r="D1697" s="120"/>
      <c r="E1697" s="122"/>
      <c r="F1697" s="123"/>
      <c r="G1697" s="184"/>
      <c r="H1697" s="125"/>
      <c r="I1697" s="126"/>
      <c r="J1697" s="37"/>
      <c r="K1697" s="159"/>
      <c r="L1697" s="160"/>
    </row>
    <row r="1698" spans="1:12" x14ac:dyDescent="0.2">
      <c r="A1698" s="129" t="str">
        <f>IF(F1698&lt;&gt;"",1+MAX($A$6:B1706),"")</f>
        <v/>
      </c>
      <c r="B1698" s="126"/>
      <c r="C1698" s="120"/>
      <c r="D1698" s="120"/>
      <c r="E1698" s="172" t="s">
        <v>525</v>
      </c>
      <c r="F1698" s="123"/>
      <c r="G1698" s="184"/>
      <c r="H1698" s="125"/>
      <c r="I1698" s="126"/>
      <c r="J1698" s="23"/>
      <c r="K1698" s="207"/>
      <c r="L1698" s="160"/>
    </row>
    <row r="1699" spans="1:12" x14ac:dyDescent="0.2">
      <c r="A1699" s="129">
        <f ca="1">IF(F1699&lt;&gt;"",1+MAX($A$6:B1707),"")</f>
        <v>698</v>
      </c>
      <c r="B1699" s="126" t="s">
        <v>458</v>
      </c>
      <c r="C1699" s="120" t="s">
        <v>526</v>
      </c>
      <c r="D1699" s="120"/>
      <c r="E1699" s="122" t="s">
        <v>460</v>
      </c>
      <c r="F1699" s="123">
        <f>84*1.33/27</f>
        <v>4.137777777777778</v>
      </c>
      <c r="G1699" s="184">
        <v>0.1</v>
      </c>
      <c r="H1699" s="125">
        <f t="shared" ref="H1699:H1702" si="241">F1699*(1+G1699)</f>
        <v>4.5515555555555558</v>
      </c>
      <c r="I1699" s="126" t="s">
        <v>461</v>
      </c>
      <c r="J1699" s="37">
        <f>$J$11</f>
        <v>0</v>
      </c>
      <c r="K1699" s="159">
        <f t="shared" ref="K1699:K1702" si="242">J1699*H1699</f>
        <v>0</v>
      </c>
      <c r="L1699" s="160"/>
    </row>
    <row r="1700" spans="1:12" x14ac:dyDescent="0.2">
      <c r="A1700" s="129">
        <f ca="1">IF(F1700&lt;&gt;"",1+MAX($A$6:B1708),"")</f>
        <v>699</v>
      </c>
      <c r="B1700" s="126" t="s">
        <v>458</v>
      </c>
      <c r="C1700" s="120" t="s">
        <v>526</v>
      </c>
      <c r="D1700" s="120"/>
      <c r="E1700" s="122" t="s">
        <v>527</v>
      </c>
      <c r="F1700" s="123">
        <f>37*1.33</f>
        <v>49.21</v>
      </c>
      <c r="G1700" s="184">
        <v>0.1</v>
      </c>
      <c r="H1700" s="125">
        <f t="shared" si="241"/>
        <v>54.131000000000007</v>
      </c>
      <c r="I1700" s="126" t="s">
        <v>463</v>
      </c>
      <c r="J1700" s="37">
        <f>K$70</f>
        <v>0</v>
      </c>
      <c r="K1700" s="159">
        <f t="shared" si="242"/>
        <v>0</v>
      </c>
      <c r="L1700" s="160"/>
    </row>
    <row r="1701" spans="1:12" x14ac:dyDescent="0.2">
      <c r="A1701" s="129">
        <f ca="1">IF(F1701&lt;&gt;"",1+MAX($A$6:B1709),"")</f>
        <v>700</v>
      </c>
      <c r="B1701" s="126" t="s">
        <v>458</v>
      </c>
      <c r="C1701" s="120" t="s">
        <v>526</v>
      </c>
      <c r="D1701" s="120"/>
      <c r="E1701" s="122" t="s">
        <v>464</v>
      </c>
      <c r="F1701" s="123">
        <f>84*6.33/27</f>
        <v>19.693333333333335</v>
      </c>
      <c r="G1701" s="184">
        <v>0.1</v>
      </c>
      <c r="H1701" s="125">
        <f t="shared" si="241"/>
        <v>21.66266666666667</v>
      </c>
      <c r="I1701" s="126" t="s">
        <v>461</v>
      </c>
      <c r="J1701" s="37">
        <f>$J$13</f>
        <v>0</v>
      </c>
      <c r="K1701" s="159">
        <f t="shared" si="242"/>
        <v>0</v>
      </c>
      <c r="L1701" s="160"/>
    </row>
    <row r="1702" spans="1:12" x14ac:dyDescent="0.2">
      <c r="A1702" s="129">
        <f ca="1">IF(F1702&lt;&gt;"",1+MAX($A$6:B1710),"")</f>
        <v>701</v>
      </c>
      <c r="B1702" s="126" t="s">
        <v>458</v>
      </c>
      <c r="C1702" s="120" t="s">
        <v>526</v>
      </c>
      <c r="D1702" s="120"/>
      <c r="E1702" s="122" t="s">
        <v>528</v>
      </c>
      <c r="F1702" s="123">
        <f>1.5*1.2*2*2*84</f>
        <v>604.79999999999995</v>
      </c>
      <c r="G1702" s="184">
        <v>0.1</v>
      </c>
      <c r="H1702" s="125">
        <f t="shared" si="241"/>
        <v>665.28</v>
      </c>
      <c r="I1702" s="126" t="s">
        <v>292</v>
      </c>
      <c r="J1702" s="37">
        <f>$J$15</f>
        <v>0</v>
      </c>
      <c r="K1702" s="159">
        <f t="shared" si="242"/>
        <v>0</v>
      </c>
      <c r="L1702" s="160"/>
    </row>
    <row r="1703" spans="1:12" x14ac:dyDescent="0.2">
      <c r="A1703" s="129" t="str">
        <f>IF(F1703&lt;&gt;"",1+MAX($A$6:B1711),"")</f>
        <v/>
      </c>
      <c r="B1703" s="126"/>
      <c r="C1703" s="120"/>
      <c r="D1703" s="120"/>
      <c r="E1703" s="122"/>
      <c r="F1703" s="123"/>
      <c r="G1703" s="184"/>
      <c r="H1703" s="125"/>
      <c r="I1703" s="126"/>
      <c r="J1703" s="37"/>
      <c r="K1703" s="159"/>
      <c r="L1703" s="160"/>
    </row>
    <row r="1704" spans="1:12" x14ac:dyDescent="0.2">
      <c r="A1704" s="129" t="str">
        <f>IF(F1704&lt;&gt;"",1+MAX($A$6:B1712),"")</f>
        <v/>
      </c>
      <c r="B1704" s="126"/>
      <c r="C1704" s="120"/>
      <c r="D1704" s="120"/>
      <c r="E1704" s="172" t="s">
        <v>529</v>
      </c>
      <c r="F1704" s="123"/>
      <c r="G1704" s="184"/>
      <c r="H1704" s="125"/>
      <c r="I1704" s="126"/>
      <c r="J1704" s="23"/>
      <c r="K1704" s="207"/>
      <c r="L1704" s="160"/>
    </row>
    <row r="1705" spans="1:12" x14ac:dyDescent="0.2">
      <c r="A1705" s="129">
        <f ca="1">IF(F1705&lt;&gt;"",1+MAX($A$6:B1713),"")</f>
        <v>702</v>
      </c>
      <c r="B1705" s="126" t="s">
        <v>458</v>
      </c>
      <c r="C1705" s="120" t="s">
        <v>526</v>
      </c>
      <c r="D1705" s="120"/>
      <c r="E1705" s="122" t="s">
        <v>460</v>
      </c>
      <c r="F1705" s="123">
        <f>36*1*5/27+36*5*5*0.5/27</f>
        <v>23.333333333333336</v>
      </c>
      <c r="G1705" s="184">
        <v>0.1</v>
      </c>
      <c r="H1705" s="125">
        <f t="shared" ref="H1705:H1707" si="243">F1705*(1+G1705)</f>
        <v>25.666666666666671</v>
      </c>
      <c r="I1705" s="126" t="s">
        <v>461</v>
      </c>
      <c r="J1705" s="37">
        <f>$J$11</f>
        <v>0</v>
      </c>
      <c r="K1705" s="159">
        <f t="shared" ref="K1705:K1707" si="244">J1705*H1705</f>
        <v>0</v>
      </c>
      <c r="L1705" s="160"/>
    </row>
    <row r="1706" spans="1:12" x14ac:dyDescent="0.2">
      <c r="A1706" s="129">
        <f ca="1">IF(F1706&lt;&gt;"",1+MAX($A$6:B1714),"")</f>
        <v>703</v>
      </c>
      <c r="B1706" s="126" t="s">
        <v>458</v>
      </c>
      <c r="C1706" s="120" t="s">
        <v>526</v>
      </c>
      <c r="D1706" s="120"/>
      <c r="E1706" s="122" t="s">
        <v>527</v>
      </c>
      <c r="F1706" s="123">
        <f>36*5</f>
        <v>180</v>
      </c>
      <c r="G1706" s="184">
        <v>0.1</v>
      </c>
      <c r="H1706" s="125">
        <f t="shared" si="243"/>
        <v>198.00000000000003</v>
      </c>
      <c r="I1706" s="126" t="s">
        <v>463</v>
      </c>
      <c r="J1706" s="37">
        <f>K$70</f>
        <v>0</v>
      </c>
      <c r="K1706" s="159">
        <f t="shared" si="244"/>
        <v>0</v>
      </c>
      <c r="L1706" s="160"/>
    </row>
    <row r="1707" spans="1:12" x14ac:dyDescent="0.2">
      <c r="A1707" s="129">
        <f ca="1">IF(F1707&lt;&gt;"",1+MAX($A$6:B1715),"")</f>
        <v>704</v>
      </c>
      <c r="B1707" s="126" t="s">
        <v>458</v>
      </c>
      <c r="C1707" s="120" t="s">
        <v>526</v>
      </c>
      <c r="D1707" s="120"/>
      <c r="E1707" s="122" t="s">
        <v>530</v>
      </c>
      <c r="F1707" s="123">
        <f>1.043*1.2*2*2*36*5*1.9</f>
        <v>1712.1887999999997</v>
      </c>
      <c r="G1707" s="184">
        <v>0.1</v>
      </c>
      <c r="H1707" s="125">
        <f t="shared" si="243"/>
        <v>1883.4076799999998</v>
      </c>
      <c r="I1707" s="126" t="s">
        <v>292</v>
      </c>
      <c r="J1707" s="37">
        <f>$J$15</f>
        <v>0</v>
      </c>
      <c r="K1707" s="159">
        <f t="shared" si="244"/>
        <v>0</v>
      </c>
      <c r="L1707" s="160"/>
    </row>
    <row r="1708" spans="1:12" x14ac:dyDescent="0.2">
      <c r="A1708" s="129" t="str">
        <f>IF(F1708&lt;&gt;"",1+MAX($A$6:B1716),"")</f>
        <v/>
      </c>
      <c r="B1708" s="126"/>
      <c r="C1708" s="120"/>
      <c r="D1708" s="120"/>
      <c r="E1708" s="122"/>
      <c r="F1708" s="123"/>
      <c r="G1708" s="184"/>
      <c r="H1708" s="125"/>
      <c r="I1708" s="126"/>
      <c r="J1708" s="37"/>
      <c r="K1708" s="159"/>
      <c r="L1708" s="160"/>
    </row>
    <row r="1709" spans="1:12" x14ac:dyDescent="0.2">
      <c r="A1709" s="129" t="str">
        <f>IF(F1709&lt;&gt;"",1+MAX($A$6:B1717),"")</f>
        <v/>
      </c>
      <c r="B1709" s="126"/>
      <c r="C1709" s="120"/>
      <c r="D1709" s="120"/>
      <c r="E1709" s="172" t="s">
        <v>531</v>
      </c>
      <c r="F1709" s="123"/>
      <c r="G1709" s="184"/>
      <c r="H1709" s="125"/>
      <c r="I1709" s="126"/>
      <c r="J1709" s="23"/>
      <c r="K1709" s="207"/>
      <c r="L1709" s="160"/>
    </row>
    <row r="1710" spans="1:12" ht="63" x14ac:dyDescent="0.2">
      <c r="A1710" s="129" t="str">
        <f>IF(F1710&lt;&gt;"",1+MAX($A$6:B1718),"")</f>
        <v/>
      </c>
      <c r="B1710" s="126"/>
      <c r="C1710" s="120"/>
      <c r="D1710" s="183"/>
      <c r="E1710" s="172" t="s">
        <v>532</v>
      </c>
      <c r="F1710" s="123"/>
      <c r="G1710" s="124"/>
      <c r="H1710" s="125"/>
      <c r="I1710" s="126"/>
      <c r="J1710" s="37"/>
      <c r="K1710" s="159"/>
      <c r="L1710" s="160"/>
    </row>
    <row r="1711" spans="1:12" x14ac:dyDescent="0.2">
      <c r="A1711" s="129">
        <f ca="1">IF(F1711&lt;&gt;"",1+MAX($A$6:B1719),"")</f>
        <v>705</v>
      </c>
      <c r="B1711" s="126" t="s">
        <v>458</v>
      </c>
      <c r="C1711" s="120" t="s">
        <v>489</v>
      </c>
      <c r="D1711" s="120"/>
      <c r="E1711" s="122" t="s">
        <v>533</v>
      </c>
      <c r="F1711" s="123">
        <f>122*0.83*12/27</f>
        <v>45.004444444444438</v>
      </c>
      <c r="G1711" s="184">
        <v>0.1</v>
      </c>
      <c r="H1711" s="125">
        <f t="shared" ref="H1711:H1719" si="245">F1711*(1+G1711)</f>
        <v>49.504888888888885</v>
      </c>
      <c r="I1711" s="126" t="s">
        <v>461</v>
      </c>
      <c r="J1711" s="37">
        <v>0</v>
      </c>
      <c r="K1711" s="159">
        <f t="shared" ref="K1711:K1719" si="246">J1711*H1711</f>
        <v>0</v>
      </c>
      <c r="L1711" s="160"/>
    </row>
    <row r="1712" spans="1:12" x14ac:dyDescent="0.2">
      <c r="A1712" s="129">
        <f ca="1">IF(F1712&lt;&gt;"",1+MAX($A$6:B1720),"")</f>
        <v>706</v>
      </c>
      <c r="B1712" s="126" t="s">
        <v>458</v>
      </c>
      <c r="C1712" s="120" t="s">
        <v>489</v>
      </c>
      <c r="D1712" s="120"/>
      <c r="E1712" s="122" t="s">
        <v>534</v>
      </c>
      <c r="F1712" s="123">
        <f>(12/1.17+1)*122*0.668*1.2*2</f>
        <v>2201.6457846153853</v>
      </c>
      <c r="G1712" s="184">
        <v>0.1</v>
      </c>
      <c r="H1712" s="125">
        <f t="shared" si="245"/>
        <v>2421.8103630769242</v>
      </c>
      <c r="I1712" s="126" t="s">
        <v>292</v>
      </c>
      <c r="J1712" s="37">
        <f t="shared" ref="J1712:J1716" si="247">$J$15</f>
        <v>0</v>
      </c>
      <c r="K1712" s="159">
        <f t="shared" si="246"/>
        <v>0</v>
      </c>
      <c r="L1712" s="160"/>
    </row>
    <row r="1713" spans="1:12" x14ac:dyDescent="0.2">
      <c r="A1713" s="129">
        <f ca="1">IF(F1713&lt;&gt;"",1+MAX($A$6:B1721),"")</f>
        <v>707</v>
      </c>
      <c r="B1713" s="126" t="s">
        <v>458</v>
      </c>
      <c r="C1713" s="120" t="s">
        <v>489</v>
      </c>
      <c r="D1713" s="120"/>
      <c r="E1713" s="122" t="s">
        <v>535</v>
      </c>
      <c r="F1713" s="123">
        <f>(122/1+1)*12*1.043*1.2</f>
        <v>1847.3615999999997</v>
      </c>
      <c r="G1713" s="184">
        <v>0.1</v>
      </c>
      <c r="H1713" s="125">
        <f t="shared" si="245"/>
        <v>2032.0977599999999</v>
      </c>
      <c r="I1713" s="126" t="s">
        <v>292</v>
      </c>
      <c r="J1713" s="37">
        <f t="shared" si="247"/>
        <v>0</v>
      </c>
      <c r="K1713" s="159">
        <f t="shared" si="246"/>
        <v>0</v>
      </c>
      <c r="L1713" s="160"/>
    </row>
    <row r="1714" spans="1:12" x14ac:dyDescent="0.2">
      <c r="A1714" s="129">
        <f ca="1">IF(F1714&lt;&gt;"",1+MAX($A$6:B1722),"")</f>
        <v>708</v>
      </c>
      <c r="B1714" s="126" t="s">
        <v>458</v>
      </c>
      <c r="C1714" s="120" t="s">
        <v>489</v>
      </c>
      <c r="D1714" s="120"/>
      <c r="E1714" s="122" t="s">
        <v>536</v>
      </c>
      <c r="F1714" s="123">
        <f>(122/1+1)*12*1.5*1.2</f>
        <v>2656.7999999999997</v>
      </c>
      <c r="G1714" s="184">
        <v>0.1</v>
      </c>
      <c r="H1714" s="125">
        <f t="shared" si="245"/>
        <v>2922.48</v>
      </c>
      <c r="I1714" s="126" t="s">
        <v>292</v>
      </c>
      <c r="J1714" s="37">
        <f t="shared" si="247"/>
        <v>0</v>
      </c>
      <c r="K1714" s="159">
        <f t="shared" si="246"/>
        <v>0</v>
      </c>
      <c r="L1714" s="160"/>
    </row>
    <row r="1715" spans="1:12" x14ac:dyDescent="0.2">
      <c r="A1715" s="129">
        <f ca="1">IF(F1715&lt;&gt;"",1+MAX($A$6:B1723),"")</f>
        <v>709</v>
      </c>
      <c r="B1715" s="126" t="s">
        <v>458</v>
      </c>
      <c r="C1715" s="120" t="s">
        <v>489</v>
      </c>
      <c r="D1715" s="120"/>
      <c r="E1715" s="122" t="s">
        <v>537</v>
      </c>
      <c r="F1715" s="123">
        <f>(122/1+1)*7.5*1.043*1.2*2</f>
        <v>2309.2019999999998</v>
      </c>
      <c r="G1715" s="184">
        <v>0.1</v>
      </c>
      <c r="H1715" s="125">
        <f t="shared" si="245"/>
        <v>2540.1221999999998</v>
      </c>
      <c r="I1715" s="126" t="s">
        <v>292</v>
      </c>
      <c r="J1715" s="37">
        <f t="shared" si="247"/>
        <v>0</v>
      </c>
      <c r="K1715" s="159">
        <f t="shared" si="246"/>
        <v>0</v>
      </c>
      <c r="L1715" s="160"/>
    </row>
    <row r="1716" spans="1:12" x14ac:dyDescent="0.2">
      <c r="A1716" s="129">
        <f ca="1">IF(F1716&lt;&gt;"",1+MAX($A$6:B1724),"")</f>
        <v>710</v>
      </c>
      <c r="B1716" s="126" t="s">
        <v>458</v>
      </c>
      <c r="C1716" s="120" t="s">
        <v>489</v>
      </c>
      <c r="D1716" s="120"/>
      <c r="E1716" s="122" t="s">
        <v>538</v>
      </c>
      <c r="F1716" s="123">
        <f>122/1.33*3.83*1.043*1.2</f>
        <v>439.71625263157881</v>
      </c>
      <c r="G1716" s="184">
        <v>0.1</v>
      </c>
      <c r="H1716" s="125">
        <f t="shared" si="245"/>
        <v>483.68787789473674</v>
      </c>
      <c r="I1716" s="126" t="s">
        <v>292</v>
      </c>
      <c r="J1716" s="37">
        <f t="shared" si="247"/>
        <v>0</v>
      </c>
      <c r="K1716" s="159">
        <f t="shared" si="246"/>
        <v>0</v>
      </c>
      <c r="L1716" s="160"/>
    </row>
    <row r="1717" spans="1:12" x14ac:dyDescent="0.2">
      <c r="A1717" s="129">
        <f ca="1">IF(F1717&lt;&gt;"",1+MAX($A$6:B1725),"")</f>
        <v>711</v>
      </c>
      <c r="B1717" s="126" t="s">
        <v>458</v>
      </c>
      <c r="C1717" s="120" t="s">
        <v>489</v>
      </c>
      <c r="D1717" s="120"/>
      <c r="E1717" s="122" t="s">
        <v>539</v>
      </c>
      <c r="F1717" s="123">
        <f>122*13</f>
        <v>1586</v>
      </c>
      <c r="G1717" s="184">
        <v>0.1</v>
      </c>
      <c r="H1717" s="125">
        <f t="shared" si="245"/>
        <v>1744.6000000000001</v>
      </c>
      <c r="I1717" s="126" t="s">
        <v>18</v>
      </c>
      <c r="J1717" s="37">
        <v>0</v>
      </c>
      <c r="K1717" s="159">
        <f t="shared" si="246"/>
        <v>0</v>
      </c>
      <c r="L1717" s="160"/>
    </row>
    <row r="1718" spans="1:12" x14ac:dyDescent="0.2">
      <c r="A1718" s="129">
        <f ca="1">IF(F1718&lt;&gt;"",1+MAX($A$6:B1726),"")</f>
        <v>712</v>
      </c>
      <c r="B1718" s="126" t="s">
        <v>458</v>
      </c>
      <c r="C1718" s="120" t="s">
        <v>489</v>
      </c>
      <c r="D1718" s="120"/>
      <c r="E1718" s="122" t="s">
        <v>540</v>
      </c>
      <c r="F1718" s="123">
        <v>122</v>
      </c>
      <c r="G1718" s="184">
        <v>0.1</v>
      </c>
      <c r="H1718" s="125">
        <f t="shared" si="245"/>
        <v>134.20000000000002</v>
      </c>
      <c r="I1718" s="126" t="s">
        <v>15</v>
      </c>
      <c r="J1718" s="37">
        <v>0</v>
      </c>
      <c r="K1718" s="159">
        <f t="shared" si="246"/>
        <v>0</v>
      </c>
      <c r="L1718" s="160"/>
    </row>
    <row r="1719" spans="1:12" x14ac:dyDescent="0.2">
      <c r="A1719" s="129">
        <f ca="1">IF(F1719&lt;&gt;"",1+MAX($A$6:B1727),"")</f>
        <v>713</v>
      </c>
      <c r="B1719" s="126" t="str">
        <f>B1718</f>
        <v>S2</v>
      </c>
      <c r="C1719" s="120" t="str">
        <f>C1718</f>
        <v>6/SD1</v>
      </c>
      <c r="D1719" s="120"/>
      <c r="E1719" s="122" t="s">
        <v>541</v>
      </c>
      <c r="F1719" s="123">
        <f>F1718/27</f>
        <v>4.5185185185185182</v>
      </c>
      <c r="G1719" s="184">
        <v>0.1</v>
      </c>
      <c r="H1719" s="125">
        <f t="shared" si="245"/>
        <v>4.9703703703703708</v>
      </c>
      <c r="I1719" s="126" t="s">
        <v>461</v>
      </c>
      <c r="J1719" s="37">
        <v>0</v>
      </c>
      <c r="K1719" s="159">
        <f t="shared" si="246"/>
        <v>0</v>
      </c>
      <c r="L1719" s="160"/>
    </row>
    <row r="1720" spans="1:12" ht="63" x14ac:dyDescent="0.2">
      <c r="A1720" s="129" t="str">
        <f>IF(F1720&lt;&gt;"",1+MAX($A$6:B1728),"")</f>
        <v/>
      </c>
      <c r="B1720" s="126"/>
      <c r="C1720" s="120"/>
      <c r="D1720" s="183"/>
      <c r="E1720" s="172" t="s">
        <v>542</v>
      </c>
      <c r="F1720" s="123"/>
      <c r="G1720" s="124"/>
      <c r="H1720" s="125"/>
      <c r="I1720" s="126"/>
      <c r="J1720" s="37"/>
      <c r="K1720" s="159"/>
      <c r="L1720" s="160"/>
    </row>
    <row r="1721" spans="1:12" x14ac:dyDescent="0.2">
      <c r="A1721" s="129">
        <f ca="1">IF(F1721&lt;&gt;"",1+MAX($A$6:B1729),"")</f>
        <v>714</v>
      </c>
      <c r="B1721" s="126" t="s">
        <v>458</v>
      </c>
      <c r="C1721" s="120" t="s">
        <v>492</v>
      </c>
      <c r="D1721" s="120"/>
      <c r="E1721" s="122" t="s">
        <v>533</v>
      </c>
      <c r="F1721" s="123">
        <f>338*0.83*12/27</f>
        <v>124.68444444444442</v>
      </c>
      <c r="G1721" s="184">
        <v>0.1</v>
      </c>
      <c r="H1721" s="125">
        <f t="shared" ref="H1721:H1729" si="248">F1721*(1+G1721)</f>
        <v>137.15288888888887</v>
      </c>
      <c r="I1721" s="126" t="s">
        <v>461</v>
      </c>
      <c r="J1721" s="37">
        <f>$J$188</f>
        <v>0</v>
      </c>
      <c r="K1721" s="159">
        <f t="shared" ref="K1721:K1729" si="249">J1721*H1721</f>
        <v>0</v>
      </c>
      <c r="L1721" s="160"/>
    </row>
    <row r="1722" spans="1:12" x14ac:dyDescent="0.2">
      <c r="A1722" s="129">
        <f ca="1">IF(F1722&lt;&gt;"",1+MAX($A$6:B1730),"")</f>
        <v>715</v>
      </c>
      <c r="B1722" s="126" t="s">
        <v>458</v>
      </c>
      <c r="C1722" s="120" t="s">
        <v>492</v>
      </c>
      <c r="D1722" s="120"/>
      <c r="E1722" s="122" t="s">
        <v>534</v>
      </c>
      <c r="F1722" s="123">
        <f>(12/1.17+1)*338*0.668*1.2*2</f>
        <v>6099.6416000000008</v>
      </c>
      <c r="G1722" s="184">
        <v>0.1</v>
      </c>
      <c r="H1722" s="125">
        <f t="shared" si="248"/>
        <v>6709.6057600000013</v>
      </c>
      <c r="I1722" s="126" t="s">
        <v>292</v>
      </c>
      <c r="J1722" s="37">
        <f t="shared" ref="J1722:J1726" si="250">$J$15</f>
        <v>0</v>
      </c>
      <c r="K1722" s="159">
        <f t="shared" si="249"/>
        <v>0</v>
      </c>
      <c r="L1722" s="160"/>
    </row>
    <row r="1723" spans="1:12" x14ac:dyDescent="0.2">
      <c r="A1723" s="129">
        <f ca="1">IF(F1723&lt;&gt;"",1+MAX($A$6:B1731),"")</f>
        <v>716</v>
      </c>
      <c r="B1723" s="126" t="s">
        <v>458</v>
      </c>
      <c r="C1723" s="120" t="s">
        <v>492</v>
      </c>
      <c r="D1723" s="120"/>
      <c r="E1723" s="122" t="s">
        <v>535</v>
      </c>
      <c r="F1723" s="123">
        <f>(338/1+1)*12*1.043*1.2</f>
        <v>5091.5087999999996</v>
      </c>
      <c r="G1723" s="184">
        <v>0.1</v>
      </c>
      <c r="H1723" s="125">
        <f t="shared" si="248"/>
        <v>5600.6596799999998</v>
      </c>
      <c r="I1723" s="126" t="s">
        <v>292</v>
      </c>
      <c r="J1723" s="37">
        <f t="shared" si="250"/>
        <v>0</v>
      </c>
      <c r="K1723" s="159">
        <f t="shared" si="249"/>
        <v>0</v>
      </c>
      <c r="L1723" s="160"/>
    </row>
    <row r="1724" spans="1:12" x14ac:dyDescent="0.2">
      <c r="A1724" s="129">
        <f ca="1">IF(F1724&lt;&gt;"",1+MAX($A$6:B1732),"")</f>
        <v>717</v>
      </c>
      <c r="B1724" s="126" t="s">
        <v>458</v>
      </c>
      <c r="C1724" s="120" t="s">
        <v>492</v>
      </c>
      <c r="D1724" s="120"/>
      <c r="E1724" s="122" t="s">
        <v>536</v>
      </c>
      <c r="F1724" s="123">
        <f>(338/1+1)*12*1.5*1.2</f>
        <v>7322.4</v>
      </c>
      <c r="G1724" s="184">
        <v>0.1</v>
      </c>
      <c r="H1724" s="125">
        <f t="shared" si="248"/>
        <v>8054.64</v>
      </c>
      <c r="I1724" s="126" t="s">
        <v>292</v>
      </c>
      <c r="J1724" s="37">
        <f t="shared" si="250"/>
        <v>0</v>
      </c>
      <c r="K1724" s="159">
        <f t="shared" si="249"/>
        <v>0</v>
      </c>
      <c r="L1724" s="160"/>
    </row>
    <row r="1725" spans="1:12" x14ac:dyDescent="0.2">
      <c r="A1725" s="129">
        <f ca="1">IF(F1725&lt;&gt;"",1+MAX($A$6:B1733),"")</f>
        <v>718</v>
      </c>
      <c r="B1725" s="126" t="s">
        <v>458</v>
      </c>
      <c r="C1725" s="120" t="s">
        <v>492</v>
      </c>
      <c r="D1725" s="120"/>
      <c r="E1725" s="122" t="s">
        <v>537</v>
      </c>
      <c r="F1725" s="123">
        <f>(338/1+1)*7.5*1.043*1.2*2</f>
        <v>6364.3859999999995</v>
      </c>
      <c r="G1725" s="184">
        <v>0.1</v>
      </c>
      <c r="H1725" s="125">
        <f t="shared" si="248"/>
        <v>7000.8245999999999</v>
      </c>
      <c r="I1725" s="126" t="s">
        <v>292</v>
      </c>
      <c r="J1725" s="37">
        <f t="shared" si="250"/>
        <v>0</v>
      </c>
      <c r="K1725" s="159">
        <f t="shared" si="249"/>
        <v>0</v>
      </c>
      <c r="L1725" s="160"/>
    </row>
    <row r="1726" spans="1:12" x14ac:dyDescent="0.2">
      <c r="A1726" s="129">
        <f ca="1">IF(F1726&lt;&gt;"",1+MAX($A$6:B1734),"")</f>
        <v>719</v>
      </c>
      <c r="B1726" s="126" t="s">
        <v>458</v>
      </c>
      <c r="C1726" s="120" t="s">
        <v>492</v>
      </c>
      <c r="D1726" s="120"/>
      <c r="E1726" s="122" t="s">
        <v>538</v>
      </c>
      <c r="F1726" s="123">
        <f>338/1.33*3.83*1.043*1.2</f>
        <v>1218.2302736842103</v>
      </c>
      <c r="G1726" s="184">
        <v>0.1</v>
      </c>
      <c r="H1726" s="125">
        <f t="shared" si="248"/>
        <v>1340.0533010526315</v>
      </c>
      <c r="I1726" s="126" t="s">
        <v>292</v>
      </c>
      <c r="J1726" s="37">
        <f t="shared" si="250"/>
        <v>0</v>
      </c>
      <c r="K1726" s="159">
        <f t="shared" si="249"/>
        <v>0</v>
      </c>
      <c r="L1726" s="160"/>
    </row>
    <row r="1727" spans="1:12" x14ac:dyDescent="0.2">
      <c r="A1727" s="129">
        <f ca="1">IF(F1727&lt;&gt;"",1+MAX($A$6:B1735),"")</f>
        <v>720</v>
      </c>
      <c r="B1727" s="126" t="s">
        <v>458</v>
      </c>
      <c r="C1727" s="120" t="s">
        <v>492</v>
      </c>
      <c r="D1727" s="120"/>
      <c r="E1727" s="122" t="s">
        <v>539</v>
      </c>
      <c r="F1727" s="123">
        <f>338*13</f>
        <v>4394</v>
      </c>
      <c r="G1727" s="184">
        <v>0.1</v>
      </c>
      <c r="H1727" s="125">
        <f t="shared" si="248"/>
        <v>4833.4000000000005</v>
      </c>
      <c r="I1727" s="126" t="s">
        <v>18</v>
      </c>
      <c r="J1727" s="37">
        <f>$J$194</f>
        <v>0</v>
      </c>
      <c r="K1727" s="159">
        <f t="shared" si="249"/>
        <v>0</v>
      </c>
      <c r="L1727" s="160"/>
    </row>
    <row r="1728" spans="1:12" x14ac:dyDescent="0.2">
      <c r="A1728" s="129">
        <f ca="1">IF(F1728&lt;&gt;"",1+MAX($A$6:B1736),"")</f>
        <v>721</v>
      </c>
      <c r="B1728" s="126" t="s">
        <v>458</v>
      </c>
      <c r="C1728" s="120" t="s">
        <v>492</v>
      </c>
      <c r="D1728" s="120"/>
      <c r="E1728" s="122" t="s">
        <v>540</v>
      </c>
      <c r="F1728" s="123">
        <v>338</v>
      </c>
      <c r="G1728" s="184">
        <v>0.1</v>
      </c>
      <c r="H1728" s="125">
        <f t="shared" si="248"/>
        <v>371.8</v>
      </c>
      <c r="I1728" s="126" t="s">
        <v>15</v>
      </c>
      <c r="J1728" s="37">
        <f>$J$195</f>
        <v>0</v>
      </c>
      <c r="K1728" s="159">
        <f t="shared" si="249"/>
        <v>0</v>
      </c>
      <c r="L1728" s="160"/>
    </row>
    <row r="1729" spans="1:12" x14ac:dyDescent="0.2">
      <c r="A1729" s="129">
        <f ca="1">IF(F1729&lt;&gt;"",1+MAX($A$6:B1737),"")</f>
        <v>722</v>
      </c>
      <c r="B1729" s="126" t="str">
        <f>B1728</f>
        <v>S2</v>
      </c>
      <c r="C1729" s="120" t="str">
        <f>C1728</f>
        <v>5/SD1</v>
      </c>
      <c r="D1729" s="120"/>
      <c r="E1729" s="122" t="s">
        <v>541</v>
      </c>
      <c r="F1729" s="123">
        <f>F1728/27</f>
        <v>12.518518518518519</v>
      </c>
      <c r="G1729" s="184">
        <v>0.1</v>
      </c>
      <c r="H1729" s="125">
        <f t="shared" si="248"/>
        <v>13.770370370370372</v>
      </c>
      <c r="I1729" s="126" t="s">
        <v>461</v>
      </c>
      <c r="J1729" s="37">
        <f>K$196</f>
        <v>0</v>
      </c>
      <c r="K1729" s="159">
        <f t="shared" si="249"/>
        <v>0</v>
      </c>
      <c r="L1729" s="160"/>
    </row>
    <row r="1730" spans="1:12" ht="63" x14ac:dyDescent="0.2">
      <c r="A1730" s="129" t="str">
        <f>IF(F1730&lt;&gt;"",1+MAX($A$6:B1738),"")</f>
        <v/>
      </c>
      <c r="B1730" s="126"/>
      <c r="C1730" s="120"/>
      <c r="D1730" s="183"/>
      <c r="E1730" s="172" t="s">
        <v>543</v>
      </c>
      <c r="F1730" s="123"/>
      <c r="G1730" s="124"/>
      <c r="H1730" s="125"/>
      <c r="I1730" s="126"/>
      <c r="J1730" s="37"/>
      <c r="K1730" s="159"/>
      <c r="L1730" s="160"/>
    </row>
    <row r="1731" spans="1:12" x14ac:dyDescent="0.2">
      <c r="A1731" s="129">
        <f ca="1">IF(F1731&lt;&gt;"",1+MAX($A$6:B1739),"")</f>
        <v>723</v>
      </c>
      <c r="B1731" s="126" t="s">
        <v>458</v>
      </c>
      <c r="C1731" s="120" t="s">
        <v>503</v>
      </c>
      <c r="D1731" s="120"/>
      <c r="E1731" s="122" t="s">
        <v>460</v>
      </c>
      <c r="F1731" s="123">
        <f>38*0.67*12/27</f>
        <v>11.315555555555555</v>
      </c>
      <c r="G1731" s="184">
        <v>0.1</v>
      </c>
      <c r="H1731" s="125">
        <f t="shared" ref="H1731:H1734" si="251">F1731*(1+G1731)</f>
        <v>12.447111111111111</v>
      </c>
      <c r="I1731" s="126" t="s">
        <v>461</v>
      </c>
      <c r="J1731" s="37">
        <f>$J$11</f>
        <v>0</v>
      </c>
      <c r="K1731" s="159">
        <f t="shared" ref="K1731:K1734" si="252">J1731*H1731</f>
        <v>0</v>
      </c>
      <c r="L1731" s="160"/>
    </row>
    <row r="1732" spans="1:12" x14ac:dyDescent="0.2">
      <c r="A1732" s="129">
        <f ca="1">IF(F1732&lt;&gt;"",1+MAX($A$6:B1740),"")</f>
        <v>724</v>
      </c>
      <c r="B1732" s="126" t="s">
        <v>458</v>
      </c>
      <c r="C1732" s="120" t="s">
        <v>503</v>
      </c>
      <c r="D1732" s="120"/>
      <c r="E1732" s="122" t="s">
        <v>544</v>
      </c>
      <c r="F1732" s="123">
        <f>38*12*2</f>
        <v>912</v>
      </c>
      <c r="G1732" s="184">
        <v>0.1</v>
      </c>
      <c r="H1732" s="125">
        <f t="shared" si="251"/>
        <v>1003.2</v>
      </c>
      <c r="I1732" s="126" t="s">
        <v>463</v>
      </c>
      <c r="J1732" s="37">
        <v>0</v>
      </c>
      <c r="K1732" s="159">
        <f t="shared" si="252"/>
        <v>0</v>
      </c>
      <c r="L1732" s="160"/>
    </row>
    <row r="1733" spans="1:12" x14ac:dyDescent="0.2">
      <c r="A1733" s="129">
        <f ca="1">IF(F1733&lt;&gt;"",1+MAX($A$6:B1741),"")</f>
        <v>725</v>
      </c>
      <c r="B1733" s="126" t="s">
        <v>458</v>
      </c>
      <c r="C1733" s="120" t="s">
        <v>503</v>
      </c>
      <c r="D1733" s="120"/>
      <c r="E1733" s="122" t="s">
        <v>545</v>
      </c>
      <c r="F1733" s="123">
        <f>38/1.33*6*0.668*1.2*2</f>
        <v>274.83428571428573</v>
      </c>
      <c r="G1733" s="184">
        <v>0.1</v>
      </c>
      <c r="H1733" s="125">
        <f t="shared" si="251"/>
        <v>302.31771428571432</v>
      </c>
      <c r="I1733" s="126" t="s">
        <v>292</v>
      </c>
      <c r="J1733" s="37">
        <f t="shared" ref="J1733:J1734" si="253">$J$15</f>
        <v>0</v>
      </c>
      <c r="K1733" s="159">
        <f t="shared" si="252"/>
        <v>0</v>
      </c>
      <c r="L1733" s="160"/>
    </row>
    <row r="1734" spans="1:12" x14ac:dyDescent="0.2">
      <c r="A1734" s="129">
        <f ca="1">IF(F1734&lt;&gt;"",1+MAX($A$6:B1742),"")</f>
        <v>726</v>
      </c>
      <c r="B1734" s="126" t="s">
        <v>458</v>
      </c>
      <c r="C1734" s="120" t="s">
        <v>503</v>
      </c>
      <c r="D1734" s="120"/>
      <c r="E1734" s="122" t="s">
        <v>546</v>
      </c>
      <c r="F1734" s="123">
        <f>38*12*0.668*1.2*2*2*1.13</f>
        <v>1652.193792</v>
      </c>
      <c r="G1734" s="184">
        <v>0.1</v>
      </c>
      <c r="H1734" s="125">
        <f t="shared" si="251"/>
        <v>1817.4131712000001</v>
      </c>
      <c r="I1734" s="126" t="s">
        <v>292</v>
      </c>
      <c r="J1734" s="37">
        <f t="shared" si="253"/>
        <v>0</v>
      </c>
      <c r="K1734" s="159">
        <f t="shared" si="252"/>
        <v>0</v>
      </c>
      <c r="L1734" s="160"/>
    </row>
    <row r="1735" spans="1:12" ht="63" x14ac:dyDescent="0.2">
      <c r="A1735" s="129" t="str">
        <f>IF(F1735&lt;&gt;"",1+MAX($A$6:B1743),"")</f>
        <v/>
      </c>
      <c r="B1735" s="126"/>
      <c r="C1735" s="120"/>
      <c r="D1735" s="183"/>
      <c r="E1735" s="172" t="s">
        <v>547</v>
      </c>
      <c r="F1735" s="123"/>
      <c r="G1735" s="124"/>
      <c r="H1735" s="125"/>
      <c r="I1735" s="126"/>
      <c r="J1735" s="37"/>
      <c r="K1735" s="159"/>
      <c r="L1735" s="160"/>
    </row>
    <row r="1736" spans="1:12" x14ac:dyDescent="0.2">
      <c r="A1736" s="129">
        <f ca="1">IF(F1736&lt;&gt;"",1+MAX($A$6:B1744),"")</f>
        <v>727</v>
      </c>
      <c r="B1736" s="126" t="s">
        <v>458</v>
      </c>
      <c r="C1736" s="120" t="s">
        <v>495</v>
      </c>
      <c r="D1736" s="120"/>
      <c r="E1736" s="122" t="s">
        <v>533</v>
      </c>
      <c r="F1736" s="123">
        <f>35*0.83*12/27</f>
        <v>12.91111111111111</v>
      </c>
      <c r="G1736" s="184">
        <v>0.1</v>
      </c>
      <c r="H1736" s="125">
        <f t="shared" ref="H1736:H1744" si="254">F1736*(1+G1736)</f>
        <v>14.202222222222222</v>
      </c>
      <c r="I1736" s="126" t="s">
        <v>461</v>
      </c>
      <c r="J1736" s="37">
        <f>$J$188</f>
        <v>0</v>
      </c>
      <c r="K1736" s="159">
        <f t="shared" ref="K1736:K1744" si="255">J1736*H1736</f>
        <v>0</v>
      </c>
      <c r="L1736" s="160"/>
    </row>
    <row r="1737" spans="1:12" x14ac:dyDescent="0.2">
      <c r="A1737" s="129">
        <f ca="1">IF(F1737&lt;&gt;"",1+MAX($A$6:B1745),"")</f>
        <v>728</v>
      </c>
      <c r="B1737" s="126" t="s">
        <v>458</v>
      </c>
      <c r="C1737" s="120" t="s">
        <v>495</v>
      </c>
      <c r="D1737" s="120"/>
      <c r="E1737" s="122" t="s">
        <v>534</v>
      </c>
      <c r="F1737" s="123">
        <f>(12/1.17+1)*35*0.668*1.2*2</f>
        <v>631.61969230769239</v>
      </c>
      <c r="G1737" s="184">
        <v>0.1</v>
      </c>
      <c r="H1737" s="125">
        <f t="shared" si="254"/>
        <v>694.78166153846166</v>
      </c>
      <c r="I1737" s="126" t="s">
        <v>292</v>
      </c>
      <c r="J1737" s="37">
        <f t="shared" ref="J1737:J1741" si="256">$J$15</f>
        <v>0</v>
      </c>
      <c r="K1737" s="159">
        <f t="shared" si="255"/>
        <v>0</v>
      </c>
      <c r="L1737" s="160"/>
    </row>
    <row r="1738" spans="1:12" x14ac:dyDescent="0.2">
      <c r="A1738" s="129">
        <f ca="1">IF(F1738&lt;&gt;"",1+MAX($A$6:B1746),"")</f>
        <v>729</v>
      </c>
      <c r="B1738" s="126" t="s">
        <v>458</v>
      </c>
      <c r="C1738" s="120" t="s">
        <v>495</v>
      </c>
      <c r="D1738" s="120"/>
      <c r="E1738" s="122" t="s">
        <v>535</v>
      </c>
      <c r="F1738" s="123">
        <f>(35/1+1)*12*1.043*1.2</f>
        <v>540.69119999999998</v>
      </c>
      <c r="G1738" s="184">
        <v>0.1</v>
      </c>
      <c r="H1738" s="125">
        <f t="shared" si="254"/>
        <v>594.76031999999998</v>
      </c>
      <c r="I1738" s="126" t="s">
        <v>292</v>
      </c>
      <c r="J1738" s="37">
        <f t="shared" si="256"/>
        <v>0</v>
      </c>
      <c r="K1738" s="159">
        <f t="shared" si="255"/>
        <v>0</v>
      </c>
      <c r="L1738" s="160"/>
    </row>
    <row r="1739" spans="1:12" x14ac:dyDescent="0.2">
      <c r="A1739" s="129">
        <f ca="1">IF(F1739&lt;&gt;"",1+MAX($A$6:B1747),"")</f>
        <v>730</v>
      </c>
      <c r="B1739" s="126" t="s">
        <v>458</v>
      </c>
      <c r="C1739" s="120" t="s">
        <v>495</v>
      </c>
      <c r="D1739" s="120"/>
      <c r="E1739" s="122" t="s">
        <v>536</v>
      </c>
      <c r="F1739" s="123">
        <f>(35/1+1)*12*1.5*1.2</f>
        <v>777.6</v>
      </c>
      <c r="G1739" s="184">
        <v>0.1</v>
      </c>
      <c r="H1739" s="125">
        <f t="shared" si="254"/>
        <v>855.36000000000013</v>
      </c>
      <c r="I1739" s="126" t="s">
        <v>292</v>
      </c>
      <c r="J1739" s="37">
        <f t="shared" si="256"/>
        <v>0</v>
      </c>
      <c r="K1739" s="159">
        <f t="shared" si="255"/>
        <v>0</v>
      </c>
      <c r="L1739" s="160"/>
    </row>
    <row r="1740" spans="1:12" x14ac:dyDescent="0.2">
      <c r="A1740" s="129">
        <f ca="1">IF(F1740&lt;&gt;"",1+MAX($A$6:B1748),"")</f>
        <v>731</v>
      </c>
      <c r="B1740" s="126" t="s">
        <v>458</v>
      </c>
      <c r="C1740" s="120" t="s">
        <v>495</v>
      </c>
      <c r="D1740" s="120"/>
      <c r="E1740" s="122" t="s">
        <v>537</v>
      </c>
      <c r="F1740" s="123">
        <f>(35/1+1)*7.5*1.043*1.2*2</f>
        <v>675.86399999999992</v>
      </c>
      <c r="G1740" s="184">
        <v>0.1</v>
      </c>
      <c r="H1740" s="125">
        <f t="shared" si="254"/>
        <v>743.45039999999995</v>
      </c>
      <c r="I1740" s="126" t="s">
        <v>292</v>
      </c>
      <c r="J1740" s="37">
        <f t="shared" si="256"/>
        <v>0</v>
      </c>
      <c r="K1740" s="159">
        <f t="shared" si="255"/>
        <v>0</v>
      </c>
      <c r="L1740" s="160"/>
    </row>
    <row r="1741" spans="1:12" x14ac:dyDescent="0.2">
      <c r="A1741" s="129">
        <f ca="1">IF(F1741&lt;&gt;"",1+MAX($A$6:B1749),"")</f>
        <v>732</v>
      </c>
      <c r="B1741" s="126" t="s">
        <v>458</v>
      </c>
      <c r="C1741" s="120" t="s">
        <v>495</v>
      </c>
      <c r="D1741" s="120"/>
      <c r="E1741" s="122" t="s">
        <v>538</v>
      </c>
      <c r="F1741" s="123">
        <f>35/1.33*3.83*1.043*1.2</f>
        <v>126.14810526315787</v>
      </c>
      <c r="G1741" s="184">
        <v>0.1</v>
      </c>
      <c r="H1741" s="125">
        <f t="shared" si="254"/>
        <v>138.76291578947368</v>
      </c>
      <c r="I1741" s="126" t="s">
        <v>292</v>
      </c>
      <c r="J1741" s="37">
        <f t="shared" si="256"/>
        <v>0</v>
      </c>
      <c r="K1741" s="159">
        <f t="shared" si="255"/>
        <v>0</v>
      </c>
      <c r="L1741" s="160"/>
    </row>
    <row r="1742" spans="1:12" x14ac:dyDescent="0.2">
      <c r="A1742" s="129">
        <f ca="1">IF(F1742&lt;&gt;"",1+MAX($A$6:B1750),"")</f>
        <v>733</v>
      </c>
      <c r="B1742" s="126" t="s">
        <v>458</v>
      </c>
      <c r="C1742" s="120" t="s">
        <v>495</v>
      </c>
      <c r="D1742" s="120"/>
      <c r="E1742" s="122" t="s">
        <v>539</v>
      </c>
      <c r="F1742" s="123">
        <f>35*13</f>
        <v>455</v>
      </c>
      <c r="G1742" s="184">
        <v>0.1</v>
      </c>
      <c r="H1742" s="125">
        <f t="shared" si="254"/>
        <v>500.50000000000006</v>
      </c>
      <c r="I1742" s="126" t="s">
        <v>18</v>
      </c>
      <c r="J1742" s="37">
        <f>$J$194</f>
        <v>0</v>
      </c>
      <c r="K1742" s="159">
        <f t="shared" si="255"/>
        <v>0</v>
      </c>
      <c r="L1742" s="160"/>
    </row>
    <row r="1743" spans="1:12" x14ac:dyDescent="0.2">
      <c r="A1743" s="129">
        <f ca="1">IF(F1743&lt;&gt;"",1+MAX($A$6:B1751),"")</f>
        <v>734</v>
      </c>
      <c r="B1743" s="126" t="s">
        <v>458</v>
      </c>
      <c r="C1743" s="120" t="s">
        <v>495</v>
      </c>
      <c r="D1743" s="120"/>
      <c r="E1743" s="122" t="s">
        <v>540</v>
      </c>
      <c r="F1743" s="123">
        <v>35</v>
      </c>
      <c r="G1743" s="184">
        <v>0.1</v>
      </c>
      <c r="H1743" s="125">
        <f t="shared" si="254"/>
        <v>38.5</v>
      </c>
      <c r="I1743" s="126" t="s">
        <v>15</v>
      </c>
      <c r="J1743" s="37">
        <f>$J$195</f>
        <v>0</v>
      </c>
      <c r="K1743" s="159">
        <f t="shared" si="255"/>
        <v>0</v>
      </c>
      <c r="L1743" s="160"/>
    </row>
    <row r="1744" spans="1:12" x14ac:dyDescent="0.2">
      <c r="A1744" s="129">
        <f ca="1">IF(F1744&lt;&gt;"",1+MAX($A$6:B1752),"")</f>
        <v>735</v>
      </c>
      <c r="B1744" s="126" t="str">
        <f>B1743</f>
        <v>S2</v>
      </c>
      <c r="C1744" s="120" t="str">
        <f>C1743</f>
        <v>4/SD1</v>
      </c>
      <c r="D1744" s="120"/>
      <c r="E1744" s="122" t="s">
        <v>541</v>
      </c>
      <c r="F1744" s="123">
        <f>F1743/27</f>
        <v>1.2962962962962963</v>
      </c>
      <c r="G1744" s="184">
        <v>0.1</v>
      </c>
      <c r="H1744" s="125">
        <f t="shared" si="254"/>
        <v>1.425925925925926</v>
      </c>
      <c r="I1744" s="126" t="s">
        <v>461</v>
      </c>
      <c r="J1744" s="37">
        <f>K$196</f>
        <v>0</v>
      </c>
      <c r="K1744" s="159">
        <f t="shared" si="255"/>
        <v>0</v>
      </c>
      <c r="L1744" s="160"/>
    </row>
    <row r="1745" spans="1:12" ht="63" x14ac:dyDescent="0.2">
      <c r="A1745" s="129" t="str">
        <f>IF(F1745&lt;&gt;"",1+MAX($A$6:B1753),"")</f>
        <v/>
      </c>
      <c r="B1745" s="126"/>
      <c r="C1745" s="120"/>
      <c r="D1745" s="183"/>
      <c r="E1745" s="172" t="s">
        <v>548</v>
      </c>
      <c r="F1745" s="123"/>
      <c r="G1745" s="124"/>
      <c r="H1745" s="125"/>
      <c r="I1745" s="126"/>
      <c r="J1745" s="37"/>
      <c r="K1745" s="159"/>
      <c r="L1745" s="160"/>
    </row>
    <row r="1746" spans="1:12" x14ac:dyDescent="0.2">
      <c r="A1746" s="129">
        <f ca="1">IF(F1746&lt;&gt;"",1+MAX($A$6:B1754),"")</f>
        <v>736</v>
      </c>
      <c r="B1746" s="126" t="s">
        <v>458</v>
      </c>
      <c r="C1746" s="120" t="s">
        <v>497</v>
      </c>
      <c r="D1746" s="120"/>
      <c r="E1746" s="122" t="s">
        <v>533</v>
      </c>
      <c r="F1746" s="123">
        <f>22*1.17*4/27+22*1*8/27</f>
        <v>10.331851851851852</v>
      </c>
      <c r="G1746" s="184">
        <v>0.1</v>
      </c>
      <c r="H1746" s="125">
        <f t="shared" ref="H1746:H1755" si="257">F1746*(1+G1746)</f>
        <v>11.365037037037037</v>
      </c>
      <c r="I1746" s="126" t="s">
        <v>461</v>
      </c>
      <c r="J1746" s="37">
        <f>$J$188</f>
        <v>0</v>
      </c>
      <c r="K1746" s="159">
        <f t="shared" ref="K1746:K1755" si="258">J1746*H1746</f>
        <v>0</v>
      </c>
      <c r="L1746" s="160"/>
    </row>
    <row r="1747" spans="1:12" x14ac:dyDescent="0.2">
      <c r="A1747" s="129">
        <f ca="1">IF(F1747&lt;&gt;"",1+MAX($A$6:B1755),"")</f>
        <v>737</v>
      </c>
      <c r="B1747" s="126" t="s">
        <v>458</v>
      </c>
      <c r="C1747" s="120" t="s">
        <v>497</v>
      </c>
      <c r="D1747" s="120"/>
      <c r="E1747" s="122" t="s">
        <v>534</v>
      </c>
      <c r="F1747" s="123">
        <f>(12/1.17+1)*22*0.668*1.2*2</f>
        <v>397.01809230769237</v>
      </c>
      <c r="G1747" s="184">
        <v>0.1</v>
      </c>
      <c r="H1747" s="125">
        <f t="shared" si="257"/>
        <v>436.71990153846167</v>
      </c>
      <c r="I1747" s="126" t="s">
        <v>292</v>
      </c>
      <c r="J1747" s="37">
        <f t="shared" ref="J1747:J1752" si="259">$J$15</f>
        <v>0</v>
      </c>
      <c r="K1747" s="159">
        <f t="shared" si="258"/>
        <v>0</v>
      </c>
      <c r="L1747" s="160"/>
    </row>
    <row r="1748" spans="1:12" x14ac:dyDescent="0.2">
      <c r="A1748" s="129">
        <f ca="1">IF(F1748&lt;&gt;"",1+MAX($A$6:B1756),"")</f>
        <v>738</v>
      </c>
      <c r="B1748" s="126" t="s">
        <v>458</v>
      </c>
      <c r="C1748" s="120" t="s">
        <v>497</v>
      </c>
      <c r="D1748" s="120"/>
      <c r="E1748" s="122" t="s">
        <v>535</v>
      </c>
      <c r="F1748" s="123">
        <f>(22/1+1)*12*1.043*1.2</f>
        <v>345.44159999999999</v>
      </c>
      <c r="G1748" s="184">
        <v>0.1</v>
      </c>
      <c r="H1748" s="125">
        <f t="shared" si="257"/>
        <v>379.98576000000003</v>
      </c>
      <c r="I1748" s="126" t="s">
        <v>292</v>
      </c>
      <c r="J1748" s="37">
        <f t="shared" si="259"/>
        <v>0</v>
      </c>
      <c r="K1748" s="159">
        <f t="shared" si="258"/>
        <v>0</v>
      </c>
      <c r="L1748" s="160"/>
    </row>
    <row r="1749" spans="1:12" x14ac:dyDescent="0.2">
      <c r="A1749" s="129">
        <f ca="1">IF(F1749&lt;&gt;"",1+MAX($A$6:B1757),"")</f>
        <v>739</v>
      </c>
      <c r="B1749" s="126" t="s">
        <v>458</v>
      </c>
      <c r="C1749" s="120" t="s">
        <v>497</v>
      </c>
      <c r="D1749" s="120"/>
      <c r="E1749" s="122" t="s">
        <v>549</v>
      </c>
      <c r="F1749" s="123">
        <f>(22/1.17+1)*12*1.5*1.2</f>
        <v>427.75384615384615</v>
      </c>
      <c r="G1749" s="184">
        <v>0.1</v>
      </c>
      <c r="H1749" s="125">
        <f t="shared" si="257"/>
        <v>470.52923076923082</v>
      </c>
      <c r="I1749" s="126" t="s">
        <v>292</v>
      </c>
      <c r="J1749" s="37">
        <f t="shared" si="259"/>
        <v>0</v>
      </c>
      <c r="K1749" s="159">
        <f t="shared" si="258"/>
        <v>0</v>
      </c>
      <c r="L1749" s="160"/>
    </row>
    <row r="1750" spans="1:12" x14ac:dyDescent="0.2">
      <c r="A1750" s="129">
        <f ca="1">IF(F1750&lt;&gt;"",1+MAX($A$6:B1758),"")</f>
        <v>740</v>
      </c>
      <c r="B1750" s="126" t="s">
        <v>458</v>
      </c>
      <c r="C1750" s="120" t="s">
        <v>497</v>
      </c>
      <c r="D1750" s="120"/>
      <c r="E1750" s="122" t="s">
        <v>550</v>
      </c>
      <c r="F1750" s="123">
        <f>(22/1.17+1)*7.5*1.043*1.2*2</f>
        <v>371.78938461538456</v>
      </c>
      <c r="G1750" s="184">
        <v>0.1</v>
      </c>
      <c r="H1750" s="125">
        <f t="shared" si="257"/>
        <v>408.96832307692307</v>
      </c>
      <c r="I1750" s="126" t="s">
        <v>292</v>
      </c>
      <c r="J1750" s="37">
        <f t="shared" si="259"/>
        <v>0</v>
      </c>
      <c r="K1750" s="159">
        <f t="shared" si="258"/>
        <v>0</v>
      </c>
      <c r="L1750" s="160"/>
    </row>
    <row r="1751" spans="1:12" x14ac:dyDescent="0.2">
      <c r="A1751" s="129">
        <f ca="1">IF(F1751&lt;&gt;"",1+MAX($A$6:B1759),"")</f>
        <v>741</v>
      </c>
      <c r="B1751" s="126" t="s">
        <v>458</v>
      </c>
      <c r="C1751" s="120" t="s">
        <v>497</v>
      </c>
      <c r="D1751" s="120"/>
      <c r="E1751" s="122" t="s">
        <v>538</v>
      </c>
      <c r="F1751" s="123">
        <f>22/1.33*3.83*1.043*1.2</f>
        <v>79.293094736842093</v>
      </c>
      <c r="G1751" s="184">
        <v>0.1</v>
      </c>
      <c r="H1751" s="125">
        <f t="shared" si="257"/>
        <v>87.222404210526307</v>
      </c>
      <c r="I1751" s="126" t="s">
        <v>292</v>
      </c>
      <c r="J1751" s="37">
        <f t="shared" si="259"/>
        <v>0</v>
      </c>
      <c r="K1751" s="159">
        <f t="shared" si="258"/>
        <v>0</v>
      </c>
      <c r="L1751" s="160"/>
    </row>
    <row r="1752" spans="1:12" x14ac:dyDescent="0.2">
      <c r="A1752" s="129">
        <f ca="1">IF(F1752&lt;&gt;"",1+MAX($A$6:B1760),"")</f>
        <v>742</v>
      </c>
      <c r="B1752" s="126" t="s">
        <v>458</v>
      </c>
      <c r="C1752" s="120" t="s">
        <v>497</v>
      </c>
      <c r="D1752" s="120"/>
      <c r="E1752" s="122" t="s">
        <v>551</v>
      </c>
      <c r="F1752" s="123">
        <f>22/1*3*1.043*1.2*2</f>
        <v>165.21119999999999</v>
      </c>
      <c r="G1752" s="184">
        <v>0.1</v>
      </c>
      <c r="H1752" s="125">
        <f t="shared" si="257"/>
        <v>181.73232000000002</v>
      </c>
      <c r="I1752" s="126" t="s">
        <v>292</v>
      </c>
      <c r="J1752" s="37">
        <f t="shared" si="259"/>
        <v>0</v>
      </c>
      <c r="K1752" s="159">
        <f t="shared" si="258"/>
        <v>0</v>
      </c>
      <c r="L1752" s="160"/>
    </row>
    <row r="1753" spans="1:12" x14ac:dyDescent="0.2">
      <c r="A1753" s="129">
        <f ca="1">IF(F1753&lt;&gt;"",1+MAX($A$6:B1761),"")</f>
        <v>743</v>
      </c>
      <c r="B1753" s="126" t="s">
        <v>458</v>
      </c>
      <c r="C1753" s="120" t="s">
        <v>497</v>
      </c>
      <c r="D1753" s="120"/>
      <c r="E1753" s="122" t="s">
        <v>539</v>
      </c>
      <c r="F1753" s="123">
        <f>22*13</f>
        <v>286</v>
      </c>
      <c r="G1753" s="184">
        <v>0.1</v>
      </c>
      <c r="H1753" s="125">
        <f t="shared" si="257"/>
        <v>314.60000000000002</v>
      </c>
      <c r="I1753" s="126" t="s">
        <v>18</v>
      </c>
      <c r="J1753" s="37">
        <f>$J$194</f>
        <v>0</v>
      </c>
      <c r="K1753" s="159">
        <f t="shared" si="258"/>
        <v>0</v>
      </c>
      <c r="L1753" s="160"/>
    </row>
    <row r="1754" spans="1:12" x14ac:dyDescent="0.2">
      <c r="A1754" s="129">
        <f ca="1">IF(F1754&lt;&gt;"",1+MAX($A$6:B1762),"")</f>
        <v>744</v>
      </c>
      <c r="B1754" s="126" t="s">
        <v>458</v>
      </c>
      <c r="C1754" s="120" t="s">
        <v>497</v>
      </c>
      <c r="D1754" s="120"/>
      <c r="E1754" s="122" t="s">
        <v>540</v>
      </c>
      <c r="F1754" s="123">
        <v>22</v>
      </c>
      <c r="G1754" s="184">
        <v>0.1</v>
      </c>
      <c r="H1754" s="125">
        <f t="shared" si="257"/>
        <v>24.200000000000003</v>
      </c>
      <c r="I1754" s="126" t="s">
        <v>15</v>
      </c>
      <c r="J1754" s="37">
        <f>$J$195</f>
        <v>0</v>
      </c>
      <c r="K1754" s="159">
        <f t="shared" si="258"/>
        <v>0</v>
      </c>
      <c r="L1754" s="160"/>
    </row>
    <row r="1755" spans="1:12" x14ac:dyDescent="0.2">
      <c r="A1755" s="129">
        <f ca="1">IF(F1755&lt;&gt;"",1+MAX($A$6:B1763),"")</f>
        <v>745</v>
      </c>
      <c r="B1755" s="126" t="str">
        <f>B1754</f>
        <v>S2</v>
      </c>
      <c r="C1755" s="120" t="str">
        <f>C1754</f>
        <v>3/SD1</v>
      </c>
      <c r="D1755" s="120"/>
      <c r="E1755" s="122" t="s">
        <v>541</v>
      </c>
      <c r="F1755" s="123">
        <f>F1754/27</f>
        <v>0.81481481481481477</v>
      </c>
      <c r="G1755" s="184">
        <v>0.1</v>
      </c>
      <c r="H1755" s="125">
        <f t="shared" si="257"/>
        <v>0.89629629629629637</v>
      </c>
      <c r="I1755" s="126" t="s">
        <v>461</v>
      </c>
      <c r="J1755" s="37">
        <f>K$196</f>
        <v>0</v>
      </c>
      <c r="K1755" s="159">
        <f t="shared" si="258"/>
        <v>0</v>
      </c>
      <c r="L1755" s="160"/>
    </row>
    <row r="1756" spans="1:12" ht="63" x14ac:dyDescent="0.2">
      <c r="A1756" s="129" t="str">
        <f>IF(F1756&lt;&gt;"",1+MAX($A$6:B1764),"")</f>
        <v/>
      </c>
      <c r="B1756" s="126"/>
      <c r="C1756" s="120"/>
      <c r="D1756" s="183"/>
      <c r="E1756" s="172" t="s">
        <v>552</v>
      </c>
      <c r="F1756" s="123"/>
      <c r="G1756" s="124"/>
      <c r="H1756" s="125"/>
      <c r="I1756" s="126"/>
      <c r="J1756" s="37"/>
      <c r="K1756" s="159"/>
      <c r="L1756" s="160"/>
    </row>
    <row r="1757" spans="1:12" x14ac:dyDescent="0.2">
      <c r="A1757" s="129">
        <f ca="1">IF(F1757&lt;&gt;"",1+MAX($A$6:B1765),"")</f>
        <v>746</v>
      </c>
      <c r="B1757" s="126" t="s">
        <v>458</v>
      </c>
      <c r="C1757" s="120" t="s">
        <v>499</v>
      </c>
      <c r="D1757" s="120"/>
      <c r="E1757" s="122" t="s">
        <v>533</v>
      </c>
      <c r="F1757" s="123">
        <f>84*1*12/27</f>
        <v>37.333333333333336</v>
      </c>
      <c r="G1757" s="184">
        <v>0.1</v>
      </c>
      <c r="H1757" s="125">
        <f t="shared" ref="H1757:H1766" si="260">F1757*(1+G1757)</f>
        <v>41.06666666666667</v>
      </c>
      <c r="I1757" s="126" t="s">
        <v>461</v>
      </c>
      <c r="J1757" s="37">
        <f>$J$188</f>
        <v>0</v>
      </c>
      <c r="K1757" s="159">
        <f t="shared" ref="K1757:K1766" si="261">J1757*H1757</f>
        <v>0</v>
      </c>
      <c r="L1757" s="160"/>
    </row>
    <row r="1758" spans="1:12" x14ac:dyDescent="0.2">
      <c r="A1758" s="129">
        <f ca="1">IF(F1758&lt;&gt;"",1+MAX($A$6:B1766),"")</f>
        <v>747</v>
      </c>
      <c r="B1758" s="126" t="s">
        <v>458</v>
      </c>
      <c r="C1758" s="120" t="s">
        <v>499</v>
      </c>
      <c r="D1758" s="120"/>
      <c r="E1758" s="122" t="s">
        <v>553</v>
      </c>
      <c r="F1758" s="123">
        <f>(12/1+1)*84*0.668*1.2*2</f>
        <v>1750.6944000000001</v>
      </c>
      <c r="G1758" s="184">
        <v>0.1</v>
      </c>
      <c r="H1758" s="125">
        <f t="shared" si="260"/>
        <v>1925.7638400000003</v>
      </c>
      <c r="I1758" s="126" t="s">
        <v>292</v>
      </c>
      <c r="J1758" s="37">
        <f t="shared" ref="J1758:J1763" si="262">$J$15</f>
        <v>0</v>
      </c>
      <c r="K1758" s="159">
        <f t="shared" si="261"/>
        <v>0</v>
      </c>
      <c r="L1758" s="160"/>
    </row>
    <row r="1759" spans="1:12" x14ac:dyDescent="0.2">
      <c r="A1759" s="129">
        <f ca="1">IF(F1759&lt;&gt;"",1+MAX($A$6:B1767),"")</f>
        <v>748</v>
      </c>
      <c r="B1759" s="126" t="s">
        <v>458</v>
      </c>
      <c r="C1759" s="120" t="s">
        <v>499</v>
      </c>
      <c r="D1759" s="120"/>
      <c r="E1759" s="122" t="s">
        <v>535</v>
      </c>
      <c r="F1759" s="123">
        <f>(84/1+1)*12*1.043*1.2</f>
        <v>1276.6319999999998</v>
      </c>
      <c r="G1759" s="184">
        <v>0.1</v>
      </c>
      <c r="H1759" s="125">
        <f t="shared" si="260"/>
        <v>1404.2952</v>
      </c>
      <c r="I1759" s="126" t="s">
        <v>292</v>
      </c>
      <c r="J1759" s="37">
        <f t="shared" si="262"/>
        <v>0</v>
      </c>
      <c r="K1759" s="159">
        <f t="shared" si="261"/>
        <v>0</v>
      </c>
      <c r="L1759" s="160"/>
    </row>
    <row r="1760" spans="1:12" x14ac:dyDescent="0.2">
      <c r="A1760" s="129">
        <f ca="1">IF(F1760&lt;&gt;"",1+MAX($A$6:B1768),"")</f>
        <v>749</v>
      </c>
      <c r="B1760" s="126" t="s">
        <v>458</v>
      </c>
      <c r="C1760" s="120" t="s">
        <v>499</v>
      </c>
      <c r="D1760" s="120"/>
      <c r="E1760" s="122" t="s">
        <v>536</v>
      </c>
      <c r="F1760" s="123">
        <f>(84/1+1)*12*1.5*1.2</f>
        <v>1836</v>
      </c>
      <c r="G1760" s="184">
        <v>0.1</v>
      </c>
      <c r="H1760" s="125">
        <f t="shared" si="260"/>
        <v>2019.6000000000001</v>
      </c>
      <c r="I1760" s="126" t="s">
        <v>292</v>
      </c>
      <c r="J1760" s="37">
        <f t="shared" si="262"/>
        <v>0</v>
      </c>
      <c r="K1760" s="159">
        <f t="shared" si="261"/>
        <v>0</v>
      </c>
      <c r="L1760" s="160"/>
    </row>
    <row r="1761" spans="1:12" x14ac:dyDescent="0.2">
      <c r="A1761" s="129">
        <f ca="1">IF(F1761&lt;&gt;"",1+MAX($A$6:B1769),"")</f>
        <v>750</v>
      </c>
      <c r="B1761" s="126" t="s">
        <v>458</v>
      </c>
      <c r="C1761" s="120" t="s">
        <v>499</v>
      </c>
      <c r="D1761" s="120"/>
      <c r="E1761" s="122" t="s">
        <v>550</v>
      </c>
      <c r="F1761" s="123">
        <f>(84/1.17+1)*7.5*1.043*1.2*2</f>
        <v>1366.6509230769227</v>
      </c>
      <c r="G1761" s="184">
        <v>0.1</v>
      </c>
      <c r="H1761" s="125">
        <f t="shared" si="260"/>
        <v>1503.3160153846152</v>
      </c>
      <c r="I1761" s="126" t="s">
        <v>292</v>
      </c>
      <c r="J1761" s="37">
        <f t="shared" si="262"/>
        <v>0</v>
      </c>
      <c r="K1761" s="159">
        <f t="shared" si="261"/>
        <v>0</v>
      </c>
      <c r="L1761" s="160"/>
    </row>
    <row r="1762" spans="1:12" x14ac:dyDescent="0.2">
      <c r="A1762" s="129">
        <f ca="1">IF(F1762&lt;&gt;"",1+MAX($A$6:B1770),"")</f>
        <v>751</v>
      </c>
      <c r="B1762" s="126" t="s">
        <v>458</v>
      </c>
      <c r="C1762" s="120" t="s">
        <v>499</v>
      </c>
      <c r="D1762" s="120"/>
      <c r="E1762" s="122" t="s">
        <v>538</v>
      </c>
      <c r="F1762" s="123">
        <f>84/1.33*3.83*1.043*1.2</f>
        <v>302.75545263157892</v>
      </c>
      <c r="G1762" s="184">
        <v>0.1</v>
      </c>
      <c r="H1762" s="125">
        <f t="shared" si="260"/>
        <v>333.03099789473686</v>
      </c>
      <c r="I1762" s="126" t="s">
        <v>292</v>
      </c>
      <c r="J1762" s="37">
        <f t="shared" si="262"/>
        <v>0</v>
      </c>
      <c r="K1762" s="159">
        <f t="shared" si="261"/>
        <v>0</v>
      </c>
      <c r="L1762" s="160"/>
    </row>
    <row r="1763" spans="1:12" x14ac:dyDescent="0.2">
      <c r="A1763" s="129">
        <f ca="1">IF(F1763&lt;&gt;"",1+MAX($A$6:B1771),"")</f>
        <v>752</v>
      </c>
      <c r="B1763" s="126" t="s">
        <v>458</v>
      </c>
      <c r="C1763" s="120" t="s">
        <v>499</v>
      </c>
      <c r="D1763" s="120"/>
      <c r="E1763" s="122" t="s">
        <v>551</v>
      </c>
      <c r="F1763" s="123">
        <f>84/1*3*1.043*1.2*2</f>
        <v>630.80639999999983</v>
      </c>
      <c r="G1763" s="184">
        <v>0.1</v>
      </c>
      <c r="H1763" s="125">
        <f t="shared" si="260"/>
        <v>693.88703999999984</v>
      </c>
      <c r="I1763" s="126" t="s">
        <v>292</v>
      </c>
      <c r="J1763" s="37">
        <f t="shared" si="262"/>
        <v>0</v>
      </c>
      <c r="K1763" s="159">
        <f t="shared" si="261"/>
        <v>0</v>
      </c>
      <c r="L1763" s="160"/>
    </row>
    <row r="1764" spans="1:12" x14ac:dyDescent="0.2">
      <c r="A1764" s="129">
        <f ca="1">IF(F1764&lt;&gt;"",1+MAX($A$6:B1772),"")</f>
        <v>753</v>
      </c>
      <c r="B1764" s="126" t="s">
        <v>458</v>
      </c>
      <c r="C1764" s="120" t="s">
        <v>499</v>
      </c>
      <c r="D1764" s="120"/>
      <c r="E1764" s="122" t="s">
        <v>539</v>
      </c>
      <c r="F1764" s="123">
        <f>84*13</f>
        <v>1092</v>
      </c>
      <c r="G1764" s="184">
        <v>0.1</v>
      </c>
      <c r="H1764" s="125">
        <f t="shared" si="260"/>
        <v>1201.2</v>
      </c>
      <c r="I1764" s="126" t="s">
        <v>18</v>
      </c>
      <c r="J1764" s="37">
        <f>$J$194</f>
        <v>0</v>
      </c>
      <c r="K1764" s="159">
        <f t="shared" si="261"/>
        <v>0</v>
      </c>
      <c r="L1764" s="160"/>
    </row>
    <row r="1765" spans="1:12" x14ac:dyDescent="0.2">
      <c r="A1765" s="129">
        <f ca="1">IF(F1765&lt;&gt;"",1+MAX($A$6:B1773),"")</f>
        <v>754</v>
      </c>
      <c r="B1765" s="126" t="s">
        <v>458</v>
      </c>
      <c r="C1765" s="120" t="s">
        <v>499</v>
      </c>
      <c r="D1765" s="120"/>
      <c r="E1765" s="122" t="s">
        <v>540</v>
      </c>
      <c r="F1765" s="123">
        <v>84</v>
      </c>
      <c r="G1765" s="184">
        <v>0.1</v>
      </c>
      <c r="H1765" s="125">
        <f t="shared" si="260"/>
        <v>92.4</v>
      </c>
      <c r="I1765" s="126" t="s">
        <v>15</v>
      </c>
      <c r="J1765" s="37">
        <f>$J$195</f>
        <v>0</v>
      </c>
      <c r="K1765" s="159">
        <f t="shared" si="261"/>
        <v>0</v>
      </c>
      <c r="L1765" s="160"/>
    </row>
    <row r="1766" spans="1:12" x14ac:dyDescent="0.2">
      <c r="A1766" s="129">
        <f ca="1">IF(F1766&lt;&gt;"",1+MAX($A$6:B1774),"")</f>
        <v>755</v>
      </c>
      <c r="B1766" s="126" t="str">
        <f>B1765</f>
        <v>S2</v>
      </c>
      <c r="C1766" s="120" t="str">
        <f>C1765</f>
        <v>2/SD1</v>
      </c>
      <c r="D1766" s="120"/>
      <c r="E1766" s="122" t="s">
        <v>541</v>
      </c>
      <c r="F1766" s="123">
        <f>F1765/27</f>
        <v>3.1111111111111112</v>
      </c>
      <c r="G1766" s="184">
        <v>0.1</v>
      </c>
      <c r="H1766" s="125">
        <f t="shared" si="260"/>
        <v>3.4222222222222225</v>
      </c>
      <c r="I1766" s="126" t="s">
        <v>461</v>
      </c>
      <c r="J1766" s="37">
        <f>K$196</f>
        <v>0</v>
      </c>
      <c r="K1766" s="159">
        <f t="shared" si="261"/>
        <v>0</v>
      </c>
      <c r="L1766" s="160"/>
    </row>
    <row r="1767" spans="1:12" ht="63" x14ac:dyDescent="0.2">
      <c r="A1767" s="129" t="str">
        <f>IF(F1767&lt;&gt;"",1+MAX($A$6:B1775),"")</f>
        <v/>
      </c>
      <c r="B1767" s="126"/>
      <c r="C1767" s="120"/>
      <c r="D1767" s="183"/>
      <c r="E1767" s="172" t="s">
        <v>554</v>
      </c>
      <c r="F1767" s="123"/>
      <c r="G1767" s="124"/>
      <c r="H1767" s="125"/>
      <c r="I1767" s="126"/>
      <c r="J1767" s="37"/>
      <c r="K1767" s="159"/>
      <c r="L1767" s="160"/>
    </row>
    <row r="1768" spans="1:12" x14ac:dyDescent="0.2">
      <c r="A1768" s="129">
        <f ca="1">IF(F1768&lt;&gt;"",1+MAX($A$6:B1776),"")</f>
        <v>756</v>
      </c>
      <c r="B1768" s="126" t="s">
        <v>458</v>
      </c>
      <c r="C1768" s="120" t="s">
        <v>501</v>
      </c>
      <c r="D1768" s="120"/>
      <c r="E1768" s="122" t="s">
        <v>533</v>
      </c>
      <c r="F1768" s="123">
        <f>22*0.83*12/27</f>
        <v>8.1155555555555541</v>
      </c>
      <c r="G1768" s="184">
        <v>0.1</v>
      </c>
      <c r="H1768" s="125">
        <f t="shared" ref="H1768:H1776" si="263">F1768*(1+G1768)</f>
        <v>8.9271111111111097</v>
      </c>
      <c r="I1768" s="126" t="s">
        <v>461</v>
      </c>
      <c r="J1768" s="37">
        <f>$J$188</f>
        <v>0</v>
      </c>
      <c r="K1768" s="159">
        <f t="shared" ref="K1768:K1776" si="264">J1768*H1768</f>
        <v>0</v>
      </c>
      <c r="L1768" s="160"/>
    </row>
    <row r="1769" spans="1:12" x14ac:dyDescent="0.2">
      <c r="A1769" s="129">
        <f ca="1">IF(F1769&lt;&gt;"",1+MAX($A$6:B1777),"")</f>
        <v>757</v>
      </c>
      <c r="B1769" s="126" t="s">
        <v>458</v>
      </c>
      <c r="C1769" s="120" t="s">
        <v>501</v>
      </c>
      <c r="D1769" s="120"/>
      <c r="E1769" s="122" t="s">
        <v>534</v>
      </c>
      <c r="F1769" s="123">
        <f>(12/1.17+1)*22*0.668*1.2*2</f>
        <v>397.01809230769237</v>
      </c>
      <c r="G1769" s="184">
        <v>0.1</v>
      </c>
      <c r="H1769" s="125">
        <f t="shared" si="263"/>
        <v>436.71990153846167</v>
      </c>
      <c r="I1769" s="126" t="s">
        <v>292</v>
      </c>
      <c r="J1769" s="37">
        <f t="shared" ref="J1769:J1773" si="265">$J$15</f>
        <v>0</v>
      </c>
      <c r="K1769" s="159">
        <f t="shared" si="264"/>
        <v>0</v>
      </c>
      <c r="L1769" s="160"/>
    </row>
    <row r="1770" spans="1:12" x14ac:dyDescent="0.2">
      <c r="A1770" s="129">
        <f ca="1">IF(F1770&lt;&gt;"",1+MAX($A$6:B1778),"")</f>
        <v>758</v>
      </c>
      <c r="B1770" s="126" t="s">
        <v>458</v>
      </c>
      <c r="C1770" s="120" t="s">
        <v>501</v>
      </c>
      <c r="D1770" s="120"/>
      <c r="E1770" s="122" t="s">
        <v>535</v>
      </c>
      <c r="F1770" s="123">
        <f>(22/1+1)*12*1.043*1.2</f>
        <v>345.44159999999999</v>
      </c>
      <c r="G1770" s="184">
        <v>0.1</v>
      </c>
      <c r="H1770" s="125">
        <f t="shared" si="263"/>
        <v>379.98576000000003</v>
      </c>
      <c r="I1770" s="126" t="s">
        <v>292</v>
      </c>
      <c r="J1770" s="37">
        <f t="shared" si="265"/>
        <v>0</v>
      </c>
      <c r="K1770" s="159">
        <f t="shared" si="264"/>
        <v>0</v>
      </c>
      <c r="L1770" s="160"/>
    </row>
    <row r="1771" spans="1:12" x14ac:dyDescent="0.2">
      <c r="A1771" s="129">
        <f ca="1">IF(F1771&lt;&gt;"",1+MAX($A$6:B1779),"")</f>
        <v>759</v>
      </c>
      <c r="B1771" s="126" t="s">
        <v>458</v>
      </c>
      <c r="C1771" s="120" t="s">
        <v>501</v>
      </c>
      <c r="D1771" s="120"/>
      <c r="E1771" s="122" t="s">
        <v>536</v>
      </c>
      <c r="F1771" s="123">
        <f>(22/1+1)*12*1.5*1.2</f>
        <v>496.79999999999995</v>
      </c>
      <c r="G1771" s="184">
        <v>0.1</v>
      </c>
      <c r="H1771" s="125">
        <f t="shared" si="263"/>
        <v>546.48</v>
      </c>
      <c r="I1771" s="126" t="s">
        <v>292</v>
      </c>
      <c r="J1771" s="37">
        <f t="shared" si="265"/>
        <v>0</v>
      </c>
      <c r="K1771" s="159">
        <f t="shared" si="264"/>
        <v>0</v>
      </c>
      <c r="L1771" s="160"/>
    </row>
    <row r="1772" spans="1:12" x14ac:dyDescent="0.2">
      <c r="A1772" s="129">
        <f ca="1">IF(F1772&lt;&gt;"",1+MAX($A$6:B1780),"")</f>
        <v>760</v>
      </c>
      <c r="B1772" s="126" t="s">
        <v>458</v>
      </c>
      <c r="C1772" s="120" t="s">
        <v>501</v>
      </c>
      <c r="D1772" s="120"/>
      <c r="E1772" s="122" t="s">
        <v>537</v>
      </c>
      <c r="F1772" s="123">
        <f>(22/1+1)*7.5*1.043*1.2*2</f>
        <v>431.80199999999996</v>
      </c>
      <c r="G1772" s="184">
        <v>0.1</v>
      </c>
      <c r="H1772" s="125">
        <f t="shared" si="263"/>
        <v>474.98219999999998</v>
      </c>
      <c r="I1772" s="126" t="s">
        <v>292</v>
      </c>
      <c r="J1772" s="37">
        <f t="shared" si="265"/>
        <v>0</v>
      </c>
      <c r="K1772" s="159">
        <f t="shared" si="264"/>
        <v>0</v>
      </c>
      <c r="L1772" s="160"/>
    </row>
    <row r="1773" spans="1:12" x14ac:dyDescent="0.2">
      <c r="A1773" s="129">
        <f ca="1">IF(F1773&lt;&gt;"",1+MAX($A$6:B1781),"")</f>
        <v>761</v>
      </c>
      <c r="B1773" s="126" t="s">
        <v>458</v>
      </c>
      <c r="C1773" s="120" t="s">
        <v>501</v>
      </c>
      <c r="D1773" s="120"/>
      <c r="E1773" s="122" t="s">
        <v>538</v>
      </c>
      <c r="F1773" s="123">
        <f>22/1.33*3.83*1.043*1.2</f>
        <v>79.293094736842093</v>
      </c>
      <c r="G1773" s="184">
        <v>0.1</v>
      </c>
      <c r="H1773" s="125">
        <f t="shared" si="263"/>
        <v>87.222404210526307</v>
      </c>
      <c r="I1773" s="126" t="s">
        <v>292</v>
      </c>
      <c r="J1773" s="37">
        <f t="shared" si="265"/>
        <v>0</v>
      </c>
      <c r="K1773" s="159">
        <f t="shared" si="264"/>
        <v>0</v>
      </c>
      <c r="L1773" s="160"/>
    </row>
    <row r="1774" spans="1:12" x14ac:dyDescent="0.2">
      <c r="A1774" s="129">
        <f ca="1">IF(F1774&lt;&gt;"",1+MAX($A$6:B1782),"")</f>
        <v>762</v>
      </c>
      <c r="B1774" s="126" t="s">
        <v>458</v>
      </c>
      <c r="C1774" s="120" t="s">
        <v>501</v>
      </c>
      <c r="D1774" s="120"/>
      <c r="E1774" s="122" t="s">
        <v>539</v>
      </c>
      <c r="F1774" s="123">
        <f>22*13</f>
        <v>286</v>
      </c>
      <c r="G1774" s="184">
        <v>0.1</v>
      </c>
      <c r="H1774" s="125">
        <f t="shared" si="263"/>
        <v>314.60000000000002</v>
      </c>
      <c r="I1774" s="126" t="s">
        <v>18</v>
      </c>
      <c r="J1774" s="37">
        <f>$J$194</f>
        <v>0</v>
      </c>
      <c r="K1774" s="159">
        <f t="shared" si="264"/>
        <v>0</v>
      </c>
      <c r="L1774" s="160"/>
    </row>
    <row r="1775" spans="1:12" x14ac:dyDescent="0.2">
      <c r="A1775" s="129">
        <f ca="1">IF(F1775&lt;&gt;"",1+MAX($A$6:B1783),"")</f>
        <v>763</v>
      </c>
      <c r="B1775" s="126" t="s">
        <v>458</v>
      </c>
      <c r="C1775" s="120" t="s">
        <v>501</v>
      </c>
      <c r="D1775" s="120"/>
      <c r="E1775" s="122" t="s">
        <v>540</v>
      </c>
      <c r="F1775" s="123">
        <v>22</v>
      </c>
      <c r="G1775" s="184">
        <v>0.1</v>
      </c>
      <c r="H1775" s="125">
        <f t="shared" si="263"/>
        <v>24.200000000000003</v>
      </c>
      <c r="I1775" s="126" t="s">
        <v>15</v>
      </c>
      <c r="J1775" s="37">
        <f>$J$195</f>
        <v>0</v>
      </c>
      <c r="K1775" s="159">
        <f t="shared" si="264"/>
        <v>0</v>
      </c>
      <c r="L1775" s="160"/>
    </row>
    <row r="1776" spans="1:12" x14ac:dyDescent="0.2">
      <c r="A1776" s="129">
        <f ca="1">IF(F1776&lt;&gt;"",1+MAX($A$6:B1784),"")</f>
        <v>764</v>
      </c>
      <c r="B1776" s="126" t="str">
        <f>B1775</f>
        <v>S2</v>
      </c>
      <c r="C1776" s="120" t="str">
        <f>C1775</f>
        <v>7/SD1</v>
      </c>
      <c r="D1776" s="120"/>
      <c r="E1776" s="122" t="s">
        <v>541</v>
      </c>
      <c r="F1776" s="123">
        <f>F1775/27</f>
        <v>0.81481481481481477</v>
      </c>
      <c r="G1776" s="184">
        <v>0.1</v>
      </c>
      <c r="H1776" s="125">
        <f t="shared" si="263"/>
        <v>0.89629629629629637</v>
      </c>
      <c r="I1776" s="126" t="s">
        <v>461</v>
      </c>
      <c r="J1776" s="37">
        <f>K$196</f>
        <v>0</v>
      </c>
      <c r="K1776" s="159">
        <f t="shared" si="264"/>
        <v>0</v>
      </c>
      <c r="L1776" s="160"/>
    </row>
    <row r="1777" spans="1:12" ht="63" x14ac:dyDescent="0.2">
      <c r="A1777" s="129" t="str">
        <f>IF(F1777&lt;&gt;"",1+MAX($A$6:B1785),"")</f>
        <v/>
      </c>
      <c r="B1777" s="126"/>
      <c r="C1777" s="120"/>
      <c r="D1777" s="183"/>
      <c r="E1777" s="172" t="s">
        <v>555</v>
      </c>
      <c r="F1777" s="123"/>
      <c r="G1777" s="124"/>
      <c r="H1777" s="125"/>
      <c r="I1777" s="126"/>
      <c r="J1777" s="37"/>
      <c r="K1777" s="159"/>
      <c r="L1777" s="160"/>
    </row>
    <row r="1778" spans="1:12" x14ac:dyDescent="0.2">
      <c r="A1778" s="129">
        <f ca="1">IF(F1778&lt;&gt;"",1+MAX($A$6:B1786),"")</f>
        <v>765</v>
      </c>
      <c r="B1778" s="126" t="s">
        <v>458</v>
      </c>
      <c r="C1778" s="120" t="s">
        <v>484</v>
      </c>
      <c r="D1778" s="120"/>
      <c r="E1778" s="122" t="s">
        <v>533</v>
      </c>
      <c r="F1778" s="123">
        <f>91*0.83*12/27</f>
        <v>33.568888888888893</v>
      </c>
      <c r="G1778" s="184">
        <v>0.1</v>
      </c>
      <c r="H1778" s="125">
        <f t="shared" ref="H1778:H1786" si="266">F1778*(1+G1778)</f>
        <v>36.925777777777782</v>
      </c>
      <c r="I1778" s="126" t="s">
        <v>461</v>
      </c>
      <c r="J1778" s="37">
        <f>$J$188</f>
        <v>0</v>
      </c>
      <c r="K1778" s="159">
        <f t="shared" ref="K1778:K1786" si="267">J1778*H1778</f>
        <v>0</v>
      </c>
      <c r="L1778" s="160"/>
    </row>
    <row r="1779" spans="1:12" x14ac:dyDescent="0.2">
      <c r="A1779" s="129">
        <f ca="1">IF(F1779&lt;&gt;"",1+MAX($A$6:B1787),"")</f>
        <v>766</v>
      </c>
      <c r="B1779" s="126" t="s">
        <v>458</v>
      </c>
      <c r="C1779" s="120" t="s">
        <v>484</v>
      </c>
      <c r="D1779" s="120"/>
      <c r="E1779" s="122" t="s">
        <v>534</v>
      </c>
      <c r="F1779" s="123">
        <f>(12/1.17+1)*91*0.668*1.2*2</f>
        <v>1642.2112000000004</v>
      </c>
      <c r="G1779" s="184">
        <v>0.1</v>
      </c>
      <c r="H1779" s="125">
        <f t="shared" si="266"/>
        <v>1806.4323200000006</v>
      </c>
      <c r="I1779" s="126" t="s">
        <v>292</v>
      </c>
      <c r="J1779" s="37">
        <f t="shared" ref="J1779:J1783" si="268">$J$15</f>
        <v>0</v>
      </c>
      <c r="K1779" s="159">
        <f t="shared" si="267"/>
        <v>0</v>
      </c>
      <c r="L1779" s="160"/>
    </row>
    <row r="1780" spans="1:12" x14ac:dyDescent="0.2">
      <c r="A1780" s="129">
        <f ca="1">IF(F1780&lt;&gt;"",1+MAX($A$6:B1788),"")</f>
        <v>767</v>
      </c>
      <c r="B1780" s="126" t="s">
        <v>458</v>
      </c>
      <c r="C1780" s="120" t="s">
        <v>484</v>
      </c>
      <c r="D1780" s="120"/>
      <c r="E1780" s="122" t="s">
        <v>535</v>
      </c>
      <c r="F1780" s="123">
        <f>(91/1+1)*12*1.043*1.2</f>
        <v>1381.7664</v>
      </c>
      <c r="G1780" s="184">
        <v>0.1</v>
      </c>
      <c r="H1780" s="125">
        <f t="shared" si="266"/>
        <v>1519.9430400000001</v>
      </c>
      <c r="I1780" s="126" t="s">
        <v>292</v>
      </c>
      <c r="J1780" s="37">
        <f t="shared" si="268"/>
        <v>0</v>
      </c>
      <c r="K1780" s="159">
        <f t="shared" si="267"/>
        <v>0</v>
      </c>
      <c r="L1780" s="160"/>
    </row>
    <row r="1781" spans="1:12" x14ac:dyDescent="0.2">
      <c r="A1781" s="129">
        <f ca="1">IF(F1781&lt;&gt;"",1+MAX($A$6:B1789),"")</f>
        <v>768</v>
      </c>
      <c r="B1781" s="126" t="s">
        <v>458</v>
      </c>
      <c r="C1781" s="120" t="s">
        <v>484</v>
      </c>
      <c r="D1781" s="120"/>
      <c r="E1781" s="122" t="s">
        <v>536</v>
      </c>
      <c r="F1781" s="123">
        <f>(91/1+1)*12*1.5*1.2</f>
        <v>1987.1999999999998</v>
      </c>
      <c r="G1781" s="184">
        <v>0.1</v>
      </c>
      <c r="H1781" s="125">
        <f t="shared" si="266"/>
        <v>2185.92</v>
      </c>
      <c r="I1781" s="126" t="s">
        <v>292</v>
      </c>
      <c r="J1781" s="37">
        <f t="shared" si="268"/>
        <v>0</v>
      </c>
      <c r="K1781" s="159">
        <f t="shared" si="267"/>
        <v>0</v>
      </c>
      <c r="L1781" s="160"/>
    </row>
    <row r="1782" spans="1:12" x14ac:dyDescent="0.2">
      <c r="A1782" s="129">
        <f ca="1">IF(F1782&lt;&gt;"",1+MAX($A$6:B1790),"")</f>
        <v>769</v>
      </c>
      <c r="B1782" s="126" t="s">
        <v>458</v>
      </c>
      <c r="C1782" s="120" t="s">
        <v>484</v>
      </c>
      <c r="D1782" s="120"/>
      <c r="E1782" s="122" t="s">
        <v>537</v>
      </c>
      <c r="F1782" s="123">
        <f>(91/1+1)*7.5*1.043*1.2*2</f>
        <v>1727.2079999999999</v>
      </c>
      <c r="G1782" s="184">
        <v>0.1</v>
      </c>
      <c r="H1782" s="125">
        <f t="shared" si="266"/>
        <v>1899.9287999999999</v>
      </c>
      <c r="I1782" s="126" t="s">
        <v>292</v>
      </c>
      <c r="J1782" s="37">
        <f t="shared" si="268"/>
        <v>0</v>
      </c>
      <c r="K1782" s="159">
        <f t="shared" si="267"/>
        <v>0</v>
      </c>
      <c r="L1782" s="160"/>
    </row>
    <row r="1783" spans="1:12" x14ac:dyDescent="0.2">
      <c r="A1783" s="129">
        <f ca="1">IF(F1783&lt;&gt;"",1+MAX($A$6:B1791),"")</f>
        <v>770</v>
      </c>
      <c r="B1783" s="126" t="s">
        <v>458</v>
      </c>
      <c r="C1783" s="120" t="s">
        <v>484</v>
      </c>
      <c r="D1783" s="120"/>
      <c r="E1783" s="122" t="s">
        <v>538</v>
      </c>
      <c r="F1783" s="123">
        <f>91/1.33*3.83*1.043*1.2</f>
        <v>327.98507368421042</v>
      </c>
      <c r="G1783" s="184">
        <v>0.1</v>
      </c>
      <c r="H1783" s="125">
        <f t="shared" si="266"/>
        <v>360.78358105263152</v>
      </c>
      <c r="I1783" s="126" t="s">
        <v>292</v>
      </c>
      <c r="J1783" s="37">
        <f t="shared" si="268"/>
        <v>0</v>
      </c>
      <c r="K1783" s="159">
        <f t="shared" si="267"/>
        <v>0</v>
      </c>
      <c r="L1783" s="160"/>
    </row>
    <row r="1784" spans="1:12" x14ac:dyDescent="0.2">
      <c r="A1784" s="129">
        <f ca="1">IF(F1784&lt;&gt;"",1+MAX($A$6:B1792),"")</f>
        <v>771</v>
      </c>
      <c r="B1784" s="126" t="s">
        <v>458</v>
      </c>
      <c r="C1784" s="120" t="s">
        <v>484</v>
      </c>
      <c r="D1784" s="120"/>
      <c r="E1784" s="122" t="s">
        <v>539</v>
      </c>
      <c r="F1784" s="123">
        <f>91*13</f>
        <v>1183</v>
      </c>
      <c r="G1784" s="184">
        <v>0.1</v>
      </c>
      <c r="H1784" s="125">
        <f t="shared" si="266"/>
        <v>1301.3000000000002</v>
      </c>
      <c r="I1784" s="126" t="s">
        <v>18</v>
      </c>
      <c r="J1784" s="37">
        <f>$J$194</f>
        <v>0</v>
      </c>
      <c r="K1784" s="159">
        <f t="shared" si="267"/>
        <v>0</v>
      </c>
      <c r="L1784" s="160"/>
    </row>
    <row r="1785" spans="1:12" x14ac:dyDescent="0.2">
      <c r="A1785" s="129">
        <f ca="1">IF(F1785&lt;&gt;"",1+MAX($A$6:B1793),"")</f>
        <v>772</v>
      </c>
      <c r="B1785" s="126" t="s">
        <v>458</v>
      </c>
      <c r="C1785" s="120" t="s">
        <v>484</v>
      </c>
      <c r="D1785" s="120"/>
      <c r="E1785" s="122" t="s">
        <v>540</v>
      </c>
      <c r="F1785" s="123">
        <v>91</v>
      </c>
      <c r="G1785" s="184">
        <v>0.1</v>
      </c>
      <c r="H1785" s="125">
        <f t="shared" si="266"/>
        <v>100.10000000000001</v>
      </c>
      <c r="I1785" s="126" t="s">
        <v>15</v>
      </c>
      <c r="J1785" s="37">
        <f>$J$195</f>
        <v>0</v>
      </c>
      <c r="K1785" s="159">
        <f t="shared" si="267"/>
        <v>0</v>
      </c>
      <c r="L1785" s="160"/>
    </row>
    <row r="1786" spans="1:12" x14ac:dyDescent="0.2">
      <c r="A1786" s="129">
        <f ca="1">IF(F1786&lt;&gt;"",1+MAX($A$6:B1794),"")</f>
        <v>773</v>
      </c>
      <c r="B1786" s="126" t="str">
        <f>B1785</f>
        <v>S2</v>
      </c>
      <c r="C1786" s="120" t="str">
        <f>C1785</f>
        <v>6A/SD1</v>
      </c>
      <c r="D1786" s="120"/>
      <c r="E1786" s="122" t="s">
        <v>541</v>
      </c>
      <c r="F1786" s="123">
        <f>F1785/27</f>
        <v>3.3703703703703702</v>
      </c>
      <c r="G1786" s="184">
        <v>0.1</v>
      </c>
      <c r="H1786" s="125">
        <f t="shared" si="266"/>
        <v>3.7074074074074077</v>
      </c>
      <c r="I1786" s="126" t="s">
        <v>461</v>
      </c>
      <c r="J1786" s="37">
        <f>K$196</f>
        <v>0</v>
      </c>
      <c r="K1786" s="159">
        <f t="shared" si="267"/>
        <v>0</v>
      </c>
      <c r="L1786" s="160"/>
    </row>
    <row r="1787" spans="1:12" ht="63" x14ac:dyDescent="0.2">
      <c r="A1787" s="129" t="str">
        <f>IF(F1787&lt;&gt;"",1+MAX($A$6:B1795),"")</f>
        <v/>
      </c>
      <c r="B1787" s="126"/>
      <c r="C1787" s="120"/>
      <c r="D1787" s="183"/>
      <c r="E1787" s="172" t="s">
        <v>556</v>
      </c>
      <c r="F1787" s="123"/>
      <c r="G1787" s="124"/>
      <c r="H1787" s="125"/>
      <c r="I1787" s="126"/>
      <c r="J1787" s="37"/>
      <c r="K1787" s="159"/>
      <c r="L1787" s="160"/>
    </row>
    <row r="1788" spans="1:12" x14ac:dyDescent="0.2">
      <c r="A1788" s="129">
        <f ca="1">IF(F1788&lt;&gt;"",1+MAX($A$6:B1796),"")</f>
        <v>774</v>
      </c>
      <c r="B1788" s="126" t="s">
        <v>458</v>
      </c>
      <c r="C1788" s="120" t="s">
        <v>557</v>
      </c>
      <c r="D1788" s="120"/>
      <c r="E1788" s="122" t="s">
        <v>460</v>
      </c>
      <c r="F1788" s="123">
        <f>68*0.83*12/27</f>
        <v>25.084444444444443</v>
      </c>
      <c r="G1788" s="184">
        <v>0.1</v>
      </c>
      <c r="H1788" s="125">
        <f t="shared" ref="H1788:H1794" si="269">F1788*(1+G1788)</f>
        <v>27.59288888888889</v>
      </c>
      <c r="I1788" s="126" t="s">
        <v>461</v>
      </c>
      <c r="J1788" s="37">
        <f>$J$11</f>
        <v>0</v>
      </c>
      <c r="K1788" s="159">
        <f t="shared" ref="K1788:K1794" si="270">J1788*H1788</f>
        <v>0</v>
      </c>
      <c r="L1788" s="160"/>
    </row>
    <row r="1789" spans="1:12" x14ac:dyDescent="0.2">
      <c r="A1789" s="129">
        <f ca="1">IF(F1789&lt;&gt;"",1+MAX($A$6:B1797),"")</f>
        <v>775</v>
      </c>
      <c r="B1789" s="126" t="s">
        <v>458</v>
      </c>
      <c r="C1789" s="120" t="s">
        <v>557</v>
      </c>
      <c r="D1789" s="120"/>
      <c r="E1789" s="122" t="s">
        <v>544</v>
      </c>
      <c r="F1789" s="123">
        <f>68*12*2</f>
        <v>1632</v>
      </c>
      <c r="G1789" s="184">
        <v>0.1</v>
      </c>
      <c r="H1789" s="125">
        <f t="shared" si="269"/>
        <v>1795.2</v>
      </c>
      <c r="I1789" s="126" t="s">
        <v>463</v>
      </c>
      <c r="J1789" s="37">
        <f>K$209</f>
        <v>0</v>
      </c>
      <c r="K1789" s="159">
        <f t="shared" si="270"/>
        <v>0</v>
      </c>
      <c r="L1789" s="160"/>
    </row>
    <row r="1790" spans="1:12" x14ac:dyDescent="0.2">
      <c r="A1790" s="129">
        <f ca="1">IF(F1790&lt;&gt;"",1+MAX($A$6:B1798),"")</f>
        <v>776</v>
      </c>
      <c r="B1790" s="126" t="s">
        <v>458</v>
      </c>
      <c r="C1790" s="120" t="s">
        <v>557</v>
      </c>
      <c r="D1790" s="120"/>
      <c r="E1790" s="122" t="s">
        <v>558</v>
      </c>
      <c r="F1790" s="123">
        <f>0.668*1.2*2*68*12*1.13/1.33</f>
        <v>1111.4877112781953</v>
      </c>
      <c r="G1790" s="184">
        <v>0.1</v>
      </c>
      <c r="H1790" s="125">
        <f t="shared" si="269"/>
        <v>1222.6364824060149</v>
      </c>
      <c r="I1790" s="126" t="s">
        <v>292</v>
      </c>
      <c r="J1790" s="37">
        <f t="shared" ref="J1790:J1794" si="271">$J$15</f>
        <v>0</v>
      </c>
      <c r="K1790" s="159">
        <f t="shared" si="270"/>
        <v>0</v>
      </c>
      <c r="L1790" s="160"/>
    </row>
    <row r="1791" spans="1:12" x14ac:dyDescent="0.2">
      <c r="A1791" s="129">
        <f ca="1">IF(F1791&lt;&gt;"",1+MAX($A$6:B1799),"")</f>
        <v>777</v>
      </c>
      <c r="B1791" s="126" t="s">
        <v>458</v>
      </c>
      <c r="C1791" s="120" t="s">
        <v>557</v>
      </c>
      <c r="D1791" s="120"/>
      <c r="E1791" s="122" t="s">
        <v>559</v>
      </c>
      <c r="F1791" s="123">
        <f>68*12*1.13*1.043*1.2*2</f>
        <v>2308.1506559999993</v>
      </c>
      <c r="G1791" s="184">
        <v>0.1</v>
      </c>
      <c r="H1791" s="125">
        <f t="shared" si="269"/>
        <v>2538.9657215999996</v>
      </c>
      <c r="I1791" s="126" t="s">
        <v>292</v>
      </c>
      <c r="J1791" s="37">
        <f t="shared" si="271"/>
        <v>0</v>
      </c>
      <c r="K1791" s="159">
        <f t="shared" si="270"/>
        <v>0</v>
      </c>
      <c r="L1791" s="160"/>
    </row>
    <row r="1792" spans="1:12" x14ac:dyDescent="0.2">
      <c r="A1792" s="129">
        <f ca="1">IF(F1792&lt;&gt;"",1+MAX($A$6:B1800),"")</f>
        <v>778</v>
      </c>
      <c r="B1792" s="126" t="s">
        <v>458</v>
      </c>
      <c r="C1792" s="120" t="s">
        <v>557</v>
      </c>
      <c r="D1792" s="120"/>
      <c r="E1792" s="122" t="s">
        <v>560</v>
      </c>
      <c r="F1792" s="123">
        <f>68/0.83*4.5*1.043*1.2*2</f>
        <v>922.86650602409634</v>
      </c>
      <c r="G1792" s="184">
        <v>0.1</v>
      </c>
      <c r="H1792" s="125">
        <f t="shared" si="269"/>
        <v>1015.1531566265061</v>
      </c>
      <c r="I1792" s="126" t="s">
        <v>292</v>
      </c>
      <c r="J1792" s="37">
        <f t="shared" si="271"/>
        <v>0</v>
      </c>
      <c r="K1792" s="159">
        <f t="shared" si="270"/>
        <v>0</v>
      </c>
      <c r="L1792" s="160"/>
    </row>
    <row r="1793" spans="1:12" x14ac:dyDescent="0.2">
      <c r="A1793" s="129">
        <f ca="1">IF(F1793&lt;&gt;"",1+MAX($A$6:B1801),"")</f>
        <v>779</v>
      </c>
      <c r="B1793" s="126" t="s">
        <v>458</v>
      </c>
      <c r="C1793" s="120" t="s">
        <v>557</v>
      </c>
      <c r="D1793" s="120"/>
      <c r="E1793" s="122" t="s">
        <v>561</v>
      </c>
      <c r="F1793" s="123">
        <f>68/1.33*3*1.043*1.2*2</f>
        <v>383.94947368421043</v>
      </c>
      <c r="G1793" s="184">
        <v>0.1</v>
      </c>
      <c r="H1793" s="125">
        <f t="shared" si="269"/>
        <v>422.3444210526315</v>
      </c>
      <c r="I1793" s="126" t="s">
        <v>292</v>
      </c>
      <c r="J1793" s="37">
        <f t="shared" si="271"/>
        <v>0</v>
      </c>
      <c r="K1793" s="159">
        <f t="shared" si="270"/>
        <v>0</v>
      </c>
      <c r="L1793" s="160"/>
    </row>
    <row r="1794" spans="1:12" x14ac:dyDescent="0.2">
      <c r="A1794" s="129">
        <f ca="1">IF(F1794&lt;&gt;"",1+MAX($A$6:B1802),"")</f>
        <v>780</v>
      </c>
      <c r="B1794" s="126" t="s">
        <v>458</v>
      </c>
      <c r="C1794" s="120" t="s">
        <v>557</v>
      </c>
      <c r="D1794" s="120"/>
      <c r="E1794" s="122" t="s">
        <v>562</v>
      </c>
      <c r="F1794" s="123">
        <f>68/1.33*6*1.043*1.2</f>
        <v>383.94947368421043</v>
      </c>
      <c r="G1794" s="184">
        <v>0.1</v>
      </c>
      <c r="H1794" s="125">
        <f t="shared" si="269"/>
        <v>422.3444210526315</v>
      </c>
      <c r="I1794" s="126" t="s">
        <v>292</v>
      </c>
      <c r="J1794" s="37">
        <f t="shared" si="271"/>
        <v>0</v>
      </c>
      <c r="K1794" s="159">
        <f t="shared" si="270"/>
        <v>0</v>
      </c>
      <c r="L1794" s="160"/>
    </row>
    <row r="1795" spans="1:12" ht="63" x14ac:dyDescent="0.2">
      <c r="A1795" s="129" t="str">
        <f>IF(F1795&lt;&gt;"",1+MAX($A$6:B1803),"")</f>
        <v/>
      </c>
      <c r="B1795" s="126"/>
      <c r="C1795" s="120"/>
      <c r="D1795" s="183"/>
      <c r="E1795" s="172" t="s">
        <v>563</v>
      </c>
      <c r="F1795" s="123"/>
      <c r="G1795" s="124"/>
      <c r="H1795" s="125"/>
      <c r="I1795" s="126"/>
      <c r="J1795" s="37"/>
      <c r="K1795" s="159"/>
      <c r="L1795" s="160"/>
    </row>
    <row r="1796" spans="1:12" x14ac:dyDescent="0.2">
      <c r="A1796" s="129">
        <f ca="1">IF(F1796&lt;&gt;"",1+MAX($A$6:B1804),"")</f>
        <v>781</v>
      </c>
      <c r="B1796" s="126" t="s">
        <v>458</v>
      </c>
      <c r="C1796" s="120" t="s">
        <v>459</v>
      </c>
      <c r="D1796" s="120"/>
      <c r="E1796" s="122" t="s">
        <v>460</v>
      </c>
      <c r="F1796" s="123">
        <f>178*0.67*12/27</f>
        <v>53.004444444444452</v>
      </c>
      <c r="G1796" s="184">
        <v>0.1</v>
      </c>
      <c r="H1796" s="125">
        <f t="shared" ref="H1796:H1802" si="272">F1796*(1+G1796)</f>
        <v>58.304888888888904</v>
      </c>
      <c r="I1796" s="126" t="s">
        <v>461</v>
      </c>
      <c r="J1796" s="37">
        <f>$J$11</f>
        <v>0</v>
      </c>
      <c r="K1796" s="159">
        <f t="shared" ref="K1796:K1802" si="273">J1796*H1796</f>
        <v>0</v>
      </c>
      <c r="L1796" s="160"/>
    </row>
    <row r="1797" spans="1:12" x14ac:dyDescent="0.2">
      <c r="A1797" s="129">
        <f ca="1">IF(F1797&lt;&gt;"",1+MAX($A$6:B1805),"")</f>
        <v>782</v>
      </c>
      <c r="B1797" s="126" t="s">
        <v>458</v>
      </c>
      <c r="C1797" s="120" t="s">
        <v>459</v>
      </c>
      <c r="D1797" s="120"/>
      <c r="E1797" s="122" t="s">
        <v>544</v>
      </c>
      <c r="F1797" s="123">
        <f>178*12*2</f>
        <v>4272</v>
      </c>
      <c r="G1797" s="184">
        <v>0.1</v>
      </c>
      <c r="H1797" s="125">
        <f t="shared" si="272"/>
        <v>4699.2000000000007</v>
      </c>
      <c r="I1797" s="126" t="s">
        <v>463</v>
      </c>
      <c r="J1797" s="37">
        <f>K$209</f>
        <v>0</v>
      </c>
      <c r="K1797" s="159">
        <f t="shared" si="273"/>
        <v>0</v>
      </c>
      <c r="L1797" s="160"/>
    </row>
    <row r="1798" spans="1:12" x14ac:dyDescent="0.2">
      <c r="A1798" s="129">
        <f ca="1">IF(F1798&lt;&gt;"",1+MAX($A$6:B1806),"")</f>
        <v>783</v>
      </c>
      <c r="B1798" s="126" t="s">
        <v>458</v>
      </c>
      <c r="C1798" s="120" t="s">
        <v>459</v>
      </c>
      <c r="D1798" s="120"/>
      <c r="E1798" s="122" t="s">
        <v>564</v>
      </c>
      <c r="F1798" s="123">
        <f>(12/0.83+1)*178*0.668*1.2*2</f>
        <v>4411.1951421686754</v>
      </c>
      <c r="G1798" s="184">
        <v>0.1</v>
      </c>
      <c r="H1798" s="125">
        <f t="shared" si="272"/>
        <v>4852.3146563855435</v>
      </c>
      <c r="I1798" s="126" t="s">
        <v>292</v>
      </c>
      <c r="J1798" s="37">
        <f t="shared" ref="J1798:J1802" si="274">$J$15</f>
        <v>0</v>
      </c>
      <c r="K1798" s="159">
        <f t="shared" si="273"/>
        <v>0</v>
      </c>
      <c r="L1798" s="160"/>
    </row>
    <row r="1799" spans="1:12" x14ac:dyDescent="0.2">
      <c r="A1799" s="129">
        <f ca="1">IF(F1799&lt;&gt;"",1+MAX($A$6:B1807),"")</f>
        <v>784</v>
      </c>
      <c r="B1799" s="126" t="s">
        <v>458</v>
      </c>
      <c r="C1799" s="120" t="s">
        <v>459</v>
      </c>
      <c r="D1799" s="120"/>
      <c r="E1799" s="122" t="s">
        <v>565</v>
      </c>
      <c r="F1799" s="123">
        <f>(178/1.17+1)*12*1.043*1.2*2</f>
        <v>4599.9830153846151</v>
      </c>
      <c r="G1799" s="184">
        <v>0.1</v>
      </c>
      <c r="H1799" s="125">
        <f t="shared" si="272"/>
        <v>5059.9813169230774</v>
      </c>
      <c r="I1799" s="126" t="s">
        <v>292</v>
      </c>
      <c r="J1799" s="37">
        <f t="shared" si="274"/>
        <v>0</v>
      </c>
      <c r="K1799" s="159">
        <f t="shared" si="273"/>
        <v>0</v>
      </c>
      <c r="L1799" s="160"/>
    </row>
    <row r="1800" spans="1:12" x14ac:dyDescent="0.2">
      <c r="A1800" s="129">
        <f ca="1">IF(F1800&lt;&gt;"",1+MAX($A$6:B1808),"")</f>
        <v>785</v>
      </c>
      <c r="B1800" s="126" t="s">
        <v>458</v>
      </c>
      <c r="C1800" s="120" t="s">
        <v>459</v>
      </c>
      <c r="D1800" s="120"/>
      <c r="E1800" s="122" t="s">
        <v>566</v>
      </c>
      <c r="F1800" s="123">
        <f>2*12*1.043*1.2*2</f>
        <v>60.076799999999992</v>
      </c>
      <c r="G1800" s="184">
        <v>0.1</v>
      </c>
      <c r="H1800" s="125">
        <f t="shared" si="272"/>
        <v>66.084479999999999</v>
      </c>
      <c r="I1800" s="126" t="s">
        <v>292</v>
      </c>
      <c r="J1800" s="37">
        <f t="shared" si="274"/>
        <v>0</v>
      </c>
      <c r="K1800" s="159">
        <f t="shared" si="273"/>
        <v>0</v>
      </c>
      <c r="L1800" s="160"/>
    </row>
    <row r="1801" spans="1:12" x14ac:dyDescent="0.2">
      <c r="A1801" s="129">
        <f ca="1">IF(F1801&lt;&gt;"",1+MAX($A$6:B1809),"")</f>
        <v>786</v>
      </c>
      <c r="B1801" s="126" t="s">
        <v>458</v>
      </c>
      <c r="C1801" s="120" t="s">
        <v>459</v>
      </c>
      <c r="D1801" s="120"/>
      <c r="E1801" s="122" t="s">
        <v>537</v>
      </c>
      <c r="F1801" s="123">
        <f>(178/1+1)*7.5*1.043*1.2*2</f>
        <v>3360.5459999999998</v>
      </c>
      <c r="G1801" s="184">
        <v>0.1</v>
      </c>
      <c r="H1801" s="125">
        <f t="shared" si="272"/>
        <v>3696.6006000000002</v>
      </c>
      <c r="I1801" s="126" t="s">
        <v>292</v>
      </c>
      <c r="J1801" s="37">
        <f t="shared" si="274"/>
        <v>0</v>
      </c>
      <c r="K1801" s="159">
        <f t="shared" si="273"/>
        <v>0</v>
      </c>
      <c r="L1801" s="160"/>
    </row>
    <row r="1802" spans="1:12" x14ac:dyDescent="0.2">
      <c r="A1802" s="129">
        <f ca="1">IF(F1802&lt;&gt;"",1+MAX($A$6:B1810),"")</f>
        <v>787</v>
      </c>
      <c r="B1802" s="126" t="s">
        <v>458</v>
      </c>
      <c r="C1802" s="120" t="s">
        <v>459</v>
      </c>
      <c r="D1802" s="120"/>
      <c r="E1802" s="122" t="s">
        <v>538</v>
      </c>
      <c r="F1802" s="123">
        <f>178/1.33*3.83*1.043*1.2</f>
        <v>641.55322105263144</v>
      </c>
      <c r="G1802" s="184">
        <v>0.1</v>
      </c>
      <c r="H1802" s="125">
        <f t="shared" si="272"/>
        <v>705.70854315789461</v>
      </c>
      <c r="I1802" s="126" t="s">
        <v>292</v>
      </c>
      <c r="J1802" s="37">
        <f t="shared" si="274"/>
        <v>0</v>
      </c>
      <c r="K1802" s="159">
        <f t="shared" si="273"/>
        <v>0</v>
      </c>
      <c r="L1802" s="160"/>
    </row>
    <row r="1803" spans="1:12" ht="63" x14ac:dyDescent="0.2">
      <c r="A1803" s="129" t="str">
        <f>IF(F1803&lt;&gt;"",1+MAX($A$6:B1811),"")</f>
        <v/>
      </c>
      <c r="B1803" s="126"/>
      <c r="C1803" s="120"/>
      <c r="D1803" s="183"/>
      <c r="E1803" s="172" t="s">
        <v>567</v>
      </c>
      <c r="F1803" s="123"/>
      <c r="G1803" s="124"/>
      <c r="H1803" s="125"/>
      <c r="I1803" s="126"/>
      <c r="J1803" s="37"/>
      <c r="K1803" s="159"/>
      <c r="L1803" s="160"/>
    </row>
    <row r="1804" spans="1:12" x14ac:dyDescent="0.2">
      <c r="A1804" s="129">
        <f ca="1">IF(F1804&lt;&gt;"",1+MAX($A$6:B1812),"")</f>
        <v>788</v>
      </c>
      <c r="B1804" s="126" t="s">
        <v>458</v>
      </c>
      <c r="C1804" s="120" t="s">
        <v>459</v>
      </c>
      <c r="D1804" s="120"/>
      <c r="E1804" s="122" t="s">
        <v>460</v>
      </c>
      <c r="F1804" s="123">
        <f>104*1*12/27</f>
        <v>46.222222222222221</v>
      </c>
      <c r="G1804" s="184">
        <v>0.1</v>
      </c>
      <c r="H1804" s="125">
        <f t="shared" ref="H1804:H1811" si="275">F1804*(1+G1804)</f>
        <v>50.844444444444449</v>
      </c>
      <c r="I1804" s="126" t="s">
        <v>461</v>
      </c>
      <c r="J1804" s="37">
        <f>$J$11</f>
        <v>0</v>
      </c>
      <c r="K1804" s="159">
        <f t="shared" ref="K1804:K1811" si="276">J1804*H1804</f>
        <v>0</v>
      </c>
      <c r="L1804" s="160"/>
    </row>
    <row r="1805" spans="1:12" x14ac:dyDescent="0.2">
      <c r="A1805" s="129">
        <f ca="1">IF(F1805&lt;&gt;"",1+MAX($A$6:B1813),"")</f>
        <v>789</v>
      </c>
      <c r="B1805" s="126" t="s">
        <v>458</v>
      </c>
      <c r="C1805" s="120" t="s">
        <v>459</v>
      </c>
      <c r="D1805" s="120"/>
      <c r="E1805" s="122" t="s">
        <v>544</v>
      </c>
      <c r="F1805" s="123">
        <f>104*12*2</f>
        <v>2496</v>
      </c>
      <c r="G1805" s="184">
        <v>0.1</v>
      </c>
      <c r="H1805" s="125">
        <f t="shared" si="275"/>
        <v>2745.6000000000004</v>
      </c>
      <c r="I1805" s="126" t="s">
        <v>463</v>
      </c>
      <c r="J1805" s="37">
        <f>K$209</f>
        <v>0</v>
      </c>
      <c r="K1805" s="159">
        <f t="shared" si="276"/>
        <v>0</v>
      </c>
      <c r="L1805" s="160"/>
    </row>
    <row r="1806" spans="1:12" x14ac:dyDescent="0.2">
      <c r="A1806" s="129">
        <f ca="1">IF(F1806&lt;&gt;"",1+MAX($A$6:B1814),"")</f>
        <v>790</v>
      </c>
      <c r="B1806" s="126" t="s">
        <v>458</v>
      </c>
      <c r="C1806" s="120" t="s">
        <v>459</v>
      </c>
      <c r="D1806" s="120"/>
      <c r="E1806" s="122" t="s">
        <v>568</v>
      </c>
      <c r="F1806" s="123">
        <f>1.043*1.2*2*1.13*104*12/1.17</f>
        <v>3017.1903999999995</v>
      </c>
      <c r="G1806" s="184">
        <v>0.1</v>
      </c>
      <c r="H1806" s="125">
        <f t="shared" si="275"/>
        <v>3318.9094399999999</v>
      </c>
      <c r="I1806" s="126" t="s">
        <v>292</v>
      </c>
      <c r="J1806" s="37">
        <f t="shared" ref="J1806:J1811" si="277">$J$15</f>
        <v>0</v>
      </c>
      <c r="K1806" s="159">
        <f t="shared" si="276"/>
        <v>0</v>
      </c>
      <c r="L1806" s="160"/>
    </row>
    <row r="1807" spans="1:12" x14ac:dyDescent="0.2">
      <c r="A1807" s="129">
        <f ca="1">IF(F1807&lt;&gt;"",1+MAX($A$6:B1815),"")</f>
        <v>791</v>
      </c>
      <c r="B1807" s="126" t="s">
        <v>458</v>
      </c>
      <c r="C1807" s="120" t="s">
        <v>459</v>
      </c>
      <c r="D1807" s="120"/>
      <c r="E1807" s="122" t="s">
        <v>559</v>
      </c>
      <c r="F1807" s="123">
        <f>1.043*1.2*2*1.13*104*12</f>
        <v>3530.1127679999991</v>
      </c>
      <c r="G1807" s="184">
        <v>0.1</v>
      </c>
      <c r="H1807" s="125">
        <f t="shared" si="275"/>
        <v>3883.1240447999994</v>
      </c>
      <c r="I1807" s="126" t="s">
        <v>292</v>
      </c>
      <c r="J1807" s="37">
        <f t="shared" si="277"/>
        <v>0</v>
      </c>
      <c r="K1807" s="159">
        <f t="shared" si="276"/>
        <v>0</v>
      </c>
      <c r="L1807" s="160"/>
    </row>
    <row r="1808" spans="1:12" x14ac:dyDescent="0.2">
      <c r="A1808" s="129">
        <f ca="1">IF(F1808&lt;&gt;"",1+MAX($A$6:B1816),"")</f>
        <v>792</v>
      </c>
      <c r="B1808" s="126" t="s">
        <v>458</v>
      </c>
      <c r="C1808" s="120" t="s">
        <v>459</v>
      </c>
      <c r="D1808" s="120"/>
      <c r="E1808" s="122" t="s">
        <v>569</v>
      </c>
      <c r="F1808" s="123">
        <f>4*12*1.5*1.2*2</f>
        <v>172.79999999999998</v>
      </c>
      <c r="G1808" s="184">
        <v>0.1</v>
      </c>
      <c r="H1808" s="125">
        <f t="shared" si="275"/>
        <v>190.07999999999998</v>
      </c>
      <c r="I1808" s="126" t="s">
        <v>292</v>
      </c>
      <c r="J1808" s="37">
        <f t="shared" si="277"/>
        <v>0</v>
      </c>
      <c r="K1808" s="159">
        <f t="shared" si="276"/>
        <v>0</v>
      </c>
      <c r="L1808" s="160"/>
    </row>
    <row r="1809" spans="1:12" x14ac:dyDescent="0.2">
      <c r="A1809" s="129">
        <f ca="1">IF(F1809&lt;&gt;"",1+MAX($A$6:B1817),"")</f>
        <v>793</v>
      </c>
      <c r="B1809" s="126" t="s">
        <v>458</v>
      </c>
      <c r="C1809" s="120" t="s">
        <v>459</v>
      </c>
      <c r="D1809" s="120"/>
      <c r="E1809" s="122" t="s">
        <v>537</v>
      </c>
      <c r="F1809" s="123">
        <f>(104/1+1)*7.5*1.043*1.2*2</f>
        <v>1971.2699999999998</v>
      </c>
      <c r="G1809" s="184">
        <v>0.1</v>
      </c>
      <c r="H1809" s="125">
        <f t="shared" si="275"/>
        <v>2168.3969999999999</v>
      </c>
      <c r="I1809" s="126" t="s">
        <v>292</v>
      </c>
      <c r="J1809" s="37">
        <f t="shared" si="277"/>
        <v>0</v>
      </c>
      <c r="K1809" s="159">
        <f t="shared" si="276"/>
        <v>0</v>
      </c>
      <c r="L1809" s="160"/>
    </row>
    <row r="1810" spans="1:12" x14ac:dyDescent="0.2">
      <c r="A1810" s="129">
        <f ca="1">IF(F1810&lt;&gt;"",1+MAX($A$6:B1818),"")</f>
        <v>794</v>
      </c>
      <c r="B1810" s="126" t="s">
        <v>458</v>
      </c>
      <c r="C1810" s="120" t="s">
        <v>459</v>
      </c>
      <c r="D1810" s="120"/>
      <c r="E1810" s="122" t="s">
        <v>538</v>
      </c>
      <c r="F1810" s="123">
        <f>104/1.33*3.83*1.043*1.2</f>
        <v>374.8400842105263</v>
      </c>
      <c r="G1810" s="184">
        <v>0.1</v>
      </c>
      <c r="H1810" s="125">
        <f t="shared" si="275"/>
        <v>412.32409263157894</v>
      </c>
      <c r="I1810" s="126" t="s">
        <v>292</v>
      </c>
      <c r="J1810" s="37">
        <f t="shared" si="277"/>
        <v>0</v>
      </c>
      <c r="K1810" s="159">
        <f t="shared" si="276"/>
        <v>0</v>
      </c>
      <c r="L1810" s="160"/>
    </row>
    <row r="1811" spans="1:12" x14ac:dyDescent="0.2">
      <c r="A1811" s="129">
        <f ca="1">IF(F1811&lt;&gt;"",1+MAX($A$6:B1819),"")</f>
        <v>795</v>
      </c>
      <c r="B1811" s="126" t="s">
        <v>458</v>
      </c>
      <c r="C1811" s="120" t="s">
        <v>459</v>
      </c>
      <c r="D1811" s="120"/>
      <c r="E1811" s="122" t="s">
        <v>570</v>
      </c>
      <c r="F1811" s="123">
        <f>12/0.25*1.5*0.376*1.2*2</f>
        <v>64.972799999999992</v>
      </c>
      <c r="G1811" s="184">
        <v>0.1</v>
      </c>
      <c r="H1811" s="125">
        <f t="shared" si="275"/>
        <v>71.470079999999996</v>
      </c>
      <c r="I1811" s="126" t="s">
        <v>292</v>
      </c>
      <c r="J1811" s="37">
        <f t="shared" si="277"/>
        <v>0</v>
      </c>
      <c r="K1811" s="159">
        <f t="shared" si="276"/>
        <v>0</v>
      </c>
      <c r="L1811" s="160"/>
    </row>
    <row r="1812" spans="1:12" ht="63" x14ac:dyDescent="0.2">
      <c r="A1812" s="129" t="str">
        <f>IF(F1812&lt;&gt;"",1+MAX($A$6:B1820),"")</f>
        <v/>
      </c>
      <c r="B1812" s="126"/>
      <c r="C1812" s="120"/>
      <c r="D1812" s="183"/>
      <c r="E1812" s="172" t="s">
        <v>571</v>
      </c>
      <c r="F1812" s="123"/>
      <c r="G1812" s="124"/>
      <c r="H1812" s="125"/>
      <c r="I1812" s="126"/>
      <c r="J1812" s="37"/>
      <c r="K1812" s="159"/>
      <c r="L1812" s="160"/>
    </row>
    <row r="1813" spans="1:12" x14ac:dyDescent="0.2">
      <c r="A1813" s="129">
        <f ca="1">IF(F1813&lt;&gt;"",1+MAX($A$6:B1821),"")</f>
        <v>796</v>
      </c>
      <c r="B1813" s="126" t="s">
        <v>458</v>
      </c>
      <c r="C1813" s="120" t="s">
        <v>459</v>
      </c>
      <c r="D1813" s="120"/>
      <c r="E1813" s="122" t="s">
        <v>460</v>
      </c>
      <c r="F1813" s="123">
        <f>59*0.67*12/27</f>
        <v>17.568888888888889</v>
      </c>
      <c r="G1813" s="184">
        <v>0.1</v>
      </c>
      <c r="H1813" s="125">
        <f t="shared" ref="H1813:H1819" si="278">F1813*(1+G1813)</f>
        <v>19.32577777777778</v>
      </c>
      <c r="I1813" s="126" t="s">
        <v>461</v>
      </c>
      <c r="J1813" s="37">
        <f>$J$11</f>
        <v>0</v>
      </c>
      <c r="K1813" s="159">
        <f t="shared" ref="K1813:K1819" si="279">J1813*H1813</f>
        <v>0</v>
      </c>
      <c r="L1813" s="160"/>
    </row>
    <row r="1814" spans="1:12" x14ac:dyDescent="0.2">
      <c r="A1814" s="129">
        <f ca="1">IF(F1814&lt;&gt;"",1+MAX($A$6:B1822),"")</f>
        <v>797</v>
      </c>
      <c r="B1814" s="126" t="s">
        <v>458</v>
      </c>
      <c r="C1814" s="120" t="s">
        <v>459</v>
      </c>
      <c r="D1814" s="120"/>
      <c r="E1814" s="122" t="s">
        <v>544</v>
      </c>
      <c r="F1814" s="123">
        <f>59*12*2</f>
        <v>1416</v>
      </c>
      <c r="G1814" s="184">
        <v>0.1</v>
      </c>
      <c r="H1814" s="125">
        <f t="shared" si="278"/>
        <v>1557.6000000000001</v>
      </c>
      <c r="I1814" s="126" t="s">
        <v>463</v>
      </c>
      <c r="J1814" s="37">
        <f>K$209</f>
        <v>0</v>
      </c>
      <c r="K1814" s="159">
        <f t="shared" si="279"/>
        <v>0</v>
      </c>
      <c r="L1814" s="160"/>
    </row>
    <row r="1815" spans="1:12" x14ac:dyDescent="0.2">
      <c r="A1815" s="129">
        <f ca="1">IF(F1815&lt;&gt;"",1+MAX($A$6:B1823),"")</f>
        <v>798</v>
      </c>
      <c r="B1815" s="126" t="s">
        <v>458</v>
      </c>
      <c r="C1815" s="120" t="s">
        <v>459</v>
      </c>
      <c r="D1815" s="120"/>
      <c r="E1815" s="122" t="s">
        <v>564</v>
      </c>
      <c r="F1815" s="123">
        <f>(12/0.83+1)*59*0.668*1.2*2</f>
        <v>1462.1377156626506</v>
      </c>
      <c r="G1815" s="184">
        <v>0.1</v>
      </c>
      <c r="H1815" s="125">
        <f t="shared" si="278"/>
        <v>1608.3514872289159</v>
      </c>
      <c r="I1815" s="126" t="s">
        <v>292</v>
      </c>
      <c r="J1815" s="37">
        <f t="shared" ref="J1815:J1819" si="280">$J$15</f>
        <v>0</v>
      </c>
      <c r="K1815" s="159">
        <f t="shared" si="279"/>
        <v>0</v>
      </c>
      <c r="L1815" s="160"/>
    </row>
    <row r="1816" spans="1:12" x14ac:dyDescent="0.2">
      <c r="A1816" s="129">
        <f ca="1">IF(F1816&lt;&gt;"",1+MAX($A$6:B1824),"")</f>
        <v>799</v>
      </c>
      <c r="B1816" s="126" t="s">
        <v>458</v>
      </c>
      <c r="C1816" s="120" t="s">
        <v>459</v>
      </c>
      <c r="D1816" s="120"/>
      <c r="E1816" s="122" t="s">
        <v>565</v>
      </c>
      <c r="F1816" s="123">
        <f>(59/1.17+1)*12*1.043*1.2*2</f>
        <v>1544.7953230769233</v>
      </c>
      <c r="G1816" s="184">
        <v>0.1</v>
      </c>
      <c r="H1816" s="125">
        <f t="shared" si="278"/>
        <v>1699.2748553846159</v>
      </c>
      <c r="I1816" s="126" t="s">
        <v>292</v>
      </c>
      <c r="J1816" s="37">
        <f t="shared" si="280"/>
        <v>0</v>
      </c>
      <c r="K1816" s="159">
        <f t="shared" si="279"/>
        <v>0</v>
      </c>
      <c r="L1816" s="160"/>
    </row>
    <row r="1817" spans="1:12" x14ac:dyDescent="0.2">
      <c r="A1817" s="129">
        <f ca="1">IF(F1817&lt;&gt;"",1+MAX($A$6:B1825),"")</f>
        <v>800</v>
      </c>
      <c r="B1817" s="126" t="s">
        <v>458</v>
      </c>
      <c r="C1817" s="120" t="s">
        <v>459</v>
      </c>
      <c r="D1817" s="120"/>
      <c r="E1817" s="122" t="s">
        <v>566</v>
      </c>
      <c r="F1817" s="123">
        <f>2*12*1.043*1.2*2</f>
        <v>60.076799999999992</v>
      </c>
      <c r="G1817" s="184">
        <v>0.1</v>
      </c>
      <c r="H1817" s="125">
        <f t="shared" si="278"/>
        <v>66.084479999999999</v>
      </c>
      <c r="I1817" s="126" t="s">
        <v>292</v>
      </c>
      <c r="J1817" s="37">
        <f t="shared" si="280"/>
        <v>0</v>
      </c>
      <c r="K1817" s="159">
        <f t="shared" si="279"/>
        <v>0</v>
      </c>
      <c r="L1817" s="160"/>
    </row>
    <row r="1818" spans="1:12" x14ac:dyDescent="0.2">
      <c r="A1818" s="129">
        <f ca="1">IF(F1818&lt;&gt;"",1+MAX($A$6:B1826),"")</f>
        <v>801</v>
      </c>
      <c r="B1818" s="126" t="s">
        <v>458</v>
      </c>
      <c r="C1818" s="120" t="s">
        <v>459</v>
      </c>
      <c r="D1818" s="120"/>
      <c r="E1818" s="122" t="s">
        <v>537</v>
      </c>
      <c r="F1818" s="123">
        <f>(59/1+1)*7.5*1.043*1.2*2</f>
        <v>1126.4399999999998</v>
      </c>
      <c r="G1818" s="184">
        <v>0.1</v>
      </c>
      <c r="H1818" s="125">
        <f t="shared" si="278"/>
        <v>1239.0839999999998</v>
      </c>
      <c r="I1818" s="126" t="s">
        <v>292</v>
      </c>
      <c r="J1818" s="37">
        <f t="shared" si="280"/>
        <v>0</v>
      </c>
      <c r="K1818" s="159">
        <f t="shared" si="279"/>
        <v>0</v>
      </c>
      <c r="L1818" s="160"/>
    </row>
    <row r="1819" spans="1:12" x14ac:dyDescent="0.2">
      <c r="A1819" s="129">
        <f ca="1">IF(F1819&lt;&gt;"",1+MAX($A$6:B1827),"")</f>
        <v>802</v>
      </c>
      <c r="B1819" s="126" t="s">
        <v>458</v>
      </c>
      <c r="C1819" s="120" t="s">
        <v>459</v>
      </c>
      <c r="D1819" s="120"/>
      <c r="E1819" s="122" t="s">
        <v>538</v>
      </c>
      <c r="F1819" s="123">
        <f>59/1.33*3.83*1.043*1.2</f>
        <v>212.64966315789471</v>
      </c>
      <c r="G1819" s="184">
        <v>0.1</v>
      </c>
      <c r="H1819" s="125">
        <f t="shared" si="278"/>
        <v>233.91462947368419</v>
      </c>
      <c r="I1819" s="126" t="s">
        <v>292</v>
      </c>
      <c r="J1819" s="37">
        <f t="shared" si="280"/>
        <v>0</v>
      </c>
      <c r="K1819" s="159">
        <f t="shared" si="279"/>
        <v>0</v>
      </c>
      <c r="L1819" s="160"/>
    </row>
    <row r="1820" spans="1:12" x14ac:dyDescent="0.2">
      <c r="A1820" s="129" t="str">
        <f>IF(F1820&lt;&gt;"",1+MAX($A$6:B1828),"")</f>
        <v/>
      </c>
      <c r="B1820" s="126"/>
      <c r="C1820" s="120"/>
      <c r="D1820" s="120"/>
      <c r="E1820" s="172" t="s">
        <v>572</v>
      </c>
      <c r="F1820" s="123"/>
      <c r="G1820" s="184"/>
      <c r="H1820" s="125"/>
      <c r="I1820" s="126"/>
      <c r="J1820" s="37"/>
      <c r="K1820" s="159"/>
      <c r="L1820" s="160"/>
    </row>
    <row r="1821" spans="1:12" x14ac:dyDescent="0.2">
      <c r="A1821" s="129">
        <f ca="1">IF(F1821&lt;&gt;"",1+MAX($A$6:B1829),"")</f>
        <v>803</v>
      </c>
      <c r="B1821" s="126" t="s">
        <v>458</v>
      </c>
      <c r="C1821" s="120" t="s">
        <v>573</v>
      </c>
      <c r="D1821" s="120"/>
      <c r="E1821" s="122" t="s">
        <v>574</v>
      </c>
      <c r="F1821" s="123">
        <v>838</v>
      </c>
      <c r="G1821" s="184">
        <v>0.1</v>
      </c>
      <c r="H1821" s="125">
        <f t="shared" si="195"/>
        <v>921.80000000000007</v>
      </c>
      <c r="I1821" s="126" t="s">
        <v>292</v>
      </c>
      <c r="J1821" s="37">
        <f>$J$15</f>
        <v>0</v>
      </c>
      <c r="K1821" s="159">
        <f t="shared" si="196"/>
        <v>0</v>
      </c>
      <c r="L1821" s="160"/>
    </row>
    <row r="1822" spans="1:12" x14ac:dyDescent="0.2">
      <c r="A1822" s="129" t="str">
        <f>IF(F1822&lt;&gt;"",1+MAX($A$6:B1830),"")</f>
        <v/>
      </c>
      <c r="B1822" s="126"/>
      <c r="C1822" s="120"/>
      <c r="D1822" s="120"/>
      <c r="E1822" s="122"/>
      <c r="F1822" s="123"/>
      <c r="G1822" s="184"/>
      <c r="H1822" s="125"/>
      <c r="I1822" s="126"/>
      <c r="J1822" s="37"/>
      <c r="K1822" s="159"/>
      <c r="L1822" s="160"/>
    </row>
    <row r="1823" spans="1:12" x14ac:dyDescent="0.2">
      <c r="A1823" s="129" t="str">
        <f>IF(F1823&lt;&gt;"",1+MAX($A$6:B1831),"")</f>
        <v/>
      </c>
      <c r="B1823" s="126"/>
      <c r="C1823" s="120"/>
      <c r="D1823" s="120"/>
      <c r="E1823" s="172" t="s">
        <v>575</v>
      </c>
      <c r="F1823" s="123"/>
      <c r="G1823" s="184"/>
      <c r="H1823" s="125"/>
      <c r="I1823" s="126"/>
      <c r="J1823" s="23"/>
      <c r="K1823" s="207"/>
      <c r="L1823" s="160"/>
    </row>
    <row r="1824" spans="1:12" ht="78.75" x14ac:dyDescent="0.2">
      <c r="A1824" s="129" t="str">
        <f>IF(F1824&lt;&gt;"",1+MAX($A$6:B1832),"")</f>
        <v/>
      </c>
      <c r="B1824" s="126"/>
      <c r="C1824" s="120"/>
      <c r="D1824" s="183"/>
      <c r="E1824" s="172" t="s">
        <v>576</v>
      </c>
      <c r="F1824" s="123"/>
      <c r="G1824" s="124"/>
      <c r="H1824" s="125"/>
      <c r="I1824" s="126"/>
      <c r="J1824" s="37"/>
      <c r="K1824" s="159"/>
      <c r="L1824" s="160"/>
    </row>
    <row r="1825" spans="1:12" x14ac:dyDescent="0.2">
      <c r="A1825" s="129">
        <f ca="1">IF(F1825&lt;&gt;"",1+MAX($A$6:B1833),"")</f>
        <v>804</v>
      </c>
      <c r="B1825" s="126" t="s">
        <v>458</v>
      </c>
      <c r="C1825" s="120" t="s">
        <v>459</v>
      </c>
      <c r="D1825" s="120"/>
      <c r="E1825" s="122" t="s">
        <v>460</v>
      </c>
      <c r="F1825" s="123">
        <f>3*1.5*12*2/27</f>
        <v>4</v>
      </c>
      <c r="G1825" s="184">
        <v>0.1</v>
      </c>
      <c r="H1825" s="125">
        <f t="shared" ref="H1825:H1828" si="281">F1825*(1+G1825)</f>
        <v>4.4000000000000004</v>
      </c>
      <c r="I1825" s="126" t="s">
        <v>461</v>
      </c>
      <c r="J1825" s="37">
        <f>$J$11</f>
        <v>0</v>
      </c>
      <c r="K1825" s="159">
        <f t="shared" ref="K1825:K1828" si="282">J1825*H1825</f>
        <v>0</v>
      </c>
      <c r="L1825" s="160"/>
    </row>
    <row r="1826" spans="1:12" x14ac:dyDescent="0.2">
      <c r="A1826" s="129">
        <f ca="1">IF(F1826&lt;&gt;"",1+MAX($A$6:B1834),"")</f>
        <v>805</v>
      </c>
      <c r="B1826" s="126" t="s">
        <v>458</v>
      </c>
      <c r="C1826" s="120" t="s">
        <v>459</v>
      </c>
      <c r="D1826" s="120"/>
      <c r="E1826" s="122" t="s">
        <v>577</v>
      </c>
      <c r="F1826" s="123">
        <f>2*9.5*12*2</f>
        <v>456</v>
      </c>
      <c r="G1826" s="184">
        <v>0.1</v>
      </c>
      <c r="H1826" s="125">
        <f t="shared" si="281"/>
        <v>501.6</v>
      </c>
      <c r="I1826" s="126" t="s">
        <v>463</v>
      </c>
      <c r="J1826" s="37">
        <v>0</v>
      </c>
      <c r="K1826" s="159">
        <f t="shared" si="282"/>
        <v>0</v>
      </c>
      <c r="L1826" s="160"/>
    </row>
    <row r="1827" spans="1:12" x14ac:dyDescent="0.2">
      <c r="A1827" s="129">
        <f ca="1">IF(F1827&lt;&gt;"",1+MAX($A$6:B1835),"")</f>
        <v>806</v>
      </c>
      <c r="B1827" s="126" t="s">
        <v>458</v>
      </c>
      <c r="C1827" s="120" t="s">
        <v>459</v>
      </c>
      <c r="D1827" s="120"/>
      <c r="E1827" s="122" t="s">
        <v>578</v>
      </c>
      <c r="F1827" s="123">
        <f>8*15*3.4*1.2*2</f>
        <v>979.19999999999993</v>
      </c>
      <c r="G1827" s="184">
        <v>0.1</v>
      </c>
      <c r="H1827" s="125">
        <f t="shared" si="281"/>
        <v>1077.1200000000001</v>
      </c>
      <c r="I1827" s="126" t="s">
        <v>292</v>
      </c>
      <c r="J1827" s="37">
        <f t="shared" ref="J1827:J1828" si="283">$J$15</f>
        <v>0</v>
      </c>
      <c r="K1827" s="159">
        <f t="shared" si="282"/>
        <v>0</v>
      </c>
      <c r="L1827" s="160"/>
    </row>
    <row r="1828" spans="1:12" x14ac:dyDescent="0.2">
      <c r="A1828" s="129">
        <f ca="1">IF(F1828&lt;&gt;"",1+MAX($A$6:B1836),"")</f>
        <v>807</v>
      </c>
      <c r="B1828" s="126" t="s">
        <v>458</v>
      </c>
      <c r="C1828" s="120" t="s">
        <v>459</v>
      </c>
      <c r="D1828" s="120"/>
      <c r="E1828" s="122" t="s">
        <v>579</v>
      </c>
      <c r="F1828" s="123">
        <f>(12/0.5+1)*(2*3+4*1.5+0.5*3)*0.668*1.2*2</f>
        <v>541.08000000000004</v>
      </c>
      <c r="G1828" s="184">
        <v>0.1</v>
      </c>
      <c r="H1828" s="125">
        <f t="shared" si="281"/>
        <v>595.1880000000001</v>
      </c>
      <c r="I1828" s="126" t="s">
        <v>292</v>
      </c>
      <c r="J1828" s="37">
        <f t="shared" si="283"/>
        <v>0</v>
      </c>
      <c r="K1828" s="159">
        <f t="shared" si="282"/>
        <v>0</v>
      </c>
      <c r="L1828" s="160"/>
    </row>
    <row r="1829" spans="1:12" ht="78.75" x14ac:dyDescent="0.2">
      <c r="A1829" s="129" t="str">
        <f>IF(F1829&lt;&gt;"",1+MAX($A$6:B1837),"")</f>
        <v/>
      </c>
      <c r="B1829" s="126"/>
      <c r="C1829" s="120"/>
      <c r="D1829" s="183"/>
      <c r="E1829" s="172" t="s">
        <v>580</v>
      </c>
      <c r="F1829" s="123"/>
      <c r="G1829" s="124"/>
      <c r="H1829" s="125"/>
      <c r="I1829" s="126"/>
      <c r="J1829" s="37"/>
      <c r="K1829" s="159"/>
      <c r="L1829" s="160"/>
    </row>
    <row r="1830" spans="1:12" x14ac:dyDescent="0.2">
      <c r="A1830" s="129">
        <f ca="1">IF(F1830&lt;&gt;"",1+MAX($A$6:B1838),"")</f>
        <v>808</v>
      </c>
      <c r="B1830" s="126" t="s">
        <v>458</v>
      </c>
      <c r="C1830" s="120" t="s">
        <v>459</v>
      </c>
      <c r="D1830" s="120"/>
      <c r="E1830" s="122" t="s">
        <v>460</v>
      </c>
      <c r="F1830" s="123">
        <f>2*1.33*12*26/27</f>
        <v>30.737777777777779</v>
      </c>
      <c r="G1830" s="184">
        <v>0.1</v>
      </c>
      <c r="H1830" s="125">
        <f t="shared" ref="H1830:H1833" si="284">F1830*(1+G1830)</f>
        <v>33.811555555555557</v>
      </c>
      <c r="I1830" s="126" t="s">
        <v>461</v>
      </c>
      <c r="J1830" s="37">
        <f>$J$11</f>
        <v>0</v>
      </c>
      <c r="K1830" s="159">
        <f t="shared" ref="K1830:K1833" si="285">J1830*H1830</f>
        <v>0</v>
      </c>
      <c r="L1830" s="160"/>
    </row>
    <row r="1831" spans="1:12" x14ac:dyDescent="0.2">
      <c r="A1831" s="129">
        <f ca="1">IF(F1831&lt;&gt;"",1+MAX($A$6:B1839),"")</f>
        <v>809</v>
      </c>
      <c r="B1831" s="126" t="s">
        <v>458</v>
      </c>
      <c r="C1831" s="120" t="s">
        <v>459</v>
      </c>
      <c r="D1831" s="120"/>
      <c r="E1831" s="122" t="s">
        <v>577</v>
      </c>
      <c r="F1831" s="123">
        <f>2*(2+1.33)*12*26</f>
        <v>2077.92</v>
      </c>
      <c r="G1831" s="184">
        <v>0.1</v>
      </c>
      <c r="H1831" s="125">
        <f t="shared" si="284"/>
        <v>2285.7120000000004</v>
      </c>
      <c r="I1831" s="126" t="s">
        <v>463</v>
      </c>
      <c r="J1831" s="37">
        <f>K$303</f>
        <v>0</v>
      </c>
      <c r="K1831" s="159">
        <f t="shared" si="285"/>
        <v>0</v>
      </c>
      <c r="L1831" s="160"/>
    </row>
    <row r="1832" spans="1:12" x14ac:dyDescent="0.2">
      <c r="A1832" s="129">
        <f ca="1">IF(F1832&lt;&gt;"",1+MAX($A$6:B1840),"")</f>
        <v>810</v>
      </c>
      <c r="B1832" s="126" t="s">
        <v>458</v>
      </c>
      <c r="C1832" s="120" t="s">
        <v>459</v>
      </c>
      <c r="D1832" s="120"/>
      <c r="E1832" s="122" t="s">
        <v>581</v>
      </c>
      <c r="F1832" s="123">
        <f>6*15*3.4*1.2*26</f>
        <v>9547.1999999999989</v>
      </c>
      <c r="G1832" s="184">
        <v>0.1</v>
      </c>
      <c r="H1832" s="125">
        <f t="shared" si="284"/>
        <v>10501.92</v>
      </c>
      <c r="I1832" s="126" t="s">
        <v>292</v>
      </c>
      <c r="J1832" s="37">
        <f t="shared" ref="J1832:J1833" si="286">$J$15</f>
        <v>0</v>
      </c>
      <c r="K1832" s="159">
        <f t="shared" si="285"/>
        <v>0</v>
      </c>
      <c r="L1832" s="160"/>
    </row>
    <row r="1833" spans="1:12" x14ac:dyDescent="0.2">
      <c r="A1833" s="129">
        <f ca="1">IF(F1833&lt;&gt;"",1+MAX($A$6:B1841),"")</f>
        <v>811</v>
      </c>
      <c r="B1833" s="126" t="s">
        <v>458</v>
      </c>
      <c r="C1833" s="120" t="s">
        <v>459</v>
      </c>
      <c r="D1833" s="120"/>
      <c r="E1833" s="122" t="s">
        <v>582</v>
      </c>
      <c r="F1833" s="123">
        <f>(12/0.42+1)*(2*2+3*1.5+0.5*2)*0.668*1.2*26</f>
        <v>5855.0009142857152</v>
      </c>
      <c r="G1833" s="184">
        <v>0.1</v>
      </c>
      <c r="H1833" s="125">
        <f t="shared" si="284"/>
        <v>6440.5010057142872</v>
      </c>
      <c r="I1833" s="126" t="s">
        <v>292</v>
      </c>
      <c r="J1833" s="37">
        <f t="shared" si="286"/>
        <v>0</v>
      </c>
      <c r="K1833" s="159">
        <f t="shared" si="285"/>
        <v>0</v>
      </c>
      <c r="L1833" s="160"/>
    </row>
    <row r="1834" spans="1:12" ht="63" x14ac:dyDescent="0.2">
      <c r="A1834" s="129" t="str">
        <f>IF(F1834&lt;&gt;"",1+MAX($A$6:B1842),"")</f>
        <v/>
      </c>
      <c r="B1834" s="126"/>
      <c r="C1834" s="120"/>
      <c r="D1834" s="183"/>
      <c r="E1834" s="172" t="s">
        <v>583</v>
      </c>
      <c r="F1834" s="123"/>
      <c r="G1834" s="124"/>
      <c r="H1834" s="125"/>
      <c r="I1834" s="126"/>
      <c r="J1834" s="37"/>
      <c r="K1834" s="159"/>
      <c r="L1834" s="160"/>
    </row>
    <row r="1835" spans="1:12" x14ac:dyDescent="0.2">
      <c r="A1835" s="129">
        <f ca="1">IF(F1835&lt;&gt;"",1+MAX($A$6:B1843),"")</f>
        <v>812</v>
      </c>
      <c r="B1835" s="126" t="s">
        <v>458</v>
      </c>
      <c r="C1835" s="120" t="s">
        <v>459</v>
      </c>
      <c r="D1835" s="120"/>
      <c r="E1835" s="122" t="s">
        <v>460</v>
      </c>
      <c r="F1835" s="209">
        <f>3.14*1*1*0.25*12/27</f>
        <v>0.34888888888888886</v>
      </c>
      <c r="G1835" s="184">
        <v>0.1</v>
      </c>
      <c r="H1835" s="185">
        <f t="shared" si="195"/>
        <v>0.38377777777777777</v>
      </c>
      <c r="I1835" s="126" t="s">
        <v>461</v>
      </c>
      <c r="J1835" s="37">
        <f>$J$11</f>
        <v>0</v>
      </c>
      <c r="K1835" s="159">
        <f t="shared" si="196"/>
        <v>0</v>
      </c>
      <c r="L1835" s="160"/>
    </row>
    <row r="1836" spans="1:12" x14ac:dyDescent="0.2">
      <c r="A1836" s="129">
        <f ca="1">IF(F1836&lt;&gt;"",1+MAX($A$6:B1844),"")</f>
        <v>813</v>
      </c>
      <c r="B1836" s="126" t="s">
        <v>458</v>
      </c>
      <c r="C1836" s="120" t="s">
        <v>459</v>
      </c>
      <c r="D1836" s="120"/>
      <c r="E1836" s="122" t="s">
        <v>584</v>
      </c>
      <c r="F1836" s="123">
        <f>3.14*1*12</f>
        <v>37.68</v>
      </c>
      <c r="G1836" s="184">
        <v>0.1</v>
      </c>
      <c r="H1836" s="125">
        <f t="shared" si="195"/>
        <v>41.448</v>
      </c>
      <c r="I1836" s="126" t="s">
        <v>463</v>
      </c>
      <c r="J1836" s="37">
        <v>0</v>
      </c>
      <c r="K1836" s="159">
        <f t="shared" si="196"/>
        <v>0</v>
      </c>
      <c r="L1836" s="160"/>
    </row>
    <row r="1837" spans="1:12" x14ac:dyDescent="0.2">
      <c r="A1837" s="129">
        <f ca="1">IF(F1837&lt;&gt;"",1+MAX($A$6:B1845),"")</f>
        <v>814</v>
      </c>
      <c r="B1837" s="126" t="s">
        <v>458</v>
      </c>
      <c r="C1837" s="120" t="s">
        <v>459</v>
      </c>
      <c r="D1837" s="120"/>
      <c r="E1837" s="122" t="s">
        <v>585</v>
      </c>
      <c r="F1837" s="123">
        <f>4*15*2.67*1.2</f>
        <v>192.23999999999998</v>
      </c>
      <c r="G1837" s="184">
        <v>0.1</v>
      </c>
      <c r="H1837" s="125">
        <f t="shared" si="195"/>
        <v>211.464</v>
      </c>
      <c r="I1837" s="126" t="s">
        <v>292</v>
      </c>
      <c r="J1837" s="37">
        <f t="shared" ref="J1837:J1838" si="287">$J$15</f>
        <v>0</v>
      </c>
      <c r="K1837" s="159">
        <f t="shared" si="196"/>
        <v>0</v>
      </c>
      <c r="L1837" s="160"/>
    </row>
    <row r="1838" spans="1:12" x14ac:dyDescent="0.2">
      <c r="A1838" s="129">
        <f ca="1">IF(F1838&lt;&gt;"",1+MAX($A$6:B1846),"")</f>
        <v>815</v>
      </c>
      <c r="B1838" s="126" t="s">
        <v>458</v>
      </c>
      <c r="C1838" s="120" t="s">
        <v>459</v>
      </c>
      <c r="D1838" s="120"/>
      <c r="E1838" s="122" t="s">
        <v>586</v>
      </c>
      <c r="F1838" s="123">
        <f>12/0.42*3.14*1*0.376*1.2</f>
        <v>40.479085714285716</v>
      </c>
      <c r="G1838" s="184">
        <v>0.1</v>
      </c>
      <c r="H1838" s="125">
        <f t="shared" si="195"/>
        <v>44.526994285714295</v>
      </c>
      <c r="I1838" s="126" t="s">
        <v>292</v>
      </c>
      <c r="J1838" s="37">
        <f t="shared" si="287"/>
        <v>0</v>
      </c>
      <c r="K1838" s="159">
        <f t="shared" si="196"/>
        <v>0</v>
      </c>
      <c r="L1838" s="160"/>
    </row>
    <row r="1839" spans="1:12" x14ac:dyDescent="0.2">
      <c r="A1839" s="129" t="str">
        <f>IF(F1839&lt;&gt;"",1+MAX($A$6:B1847),"")</f>
        <v/>
      </c>
      <c r="B1839" s="126"/>
      <c r="C1839" s="120"/>
      <c r="D1839" s="120"/>
      <c r="E1839" s="122"/>
      <c r="F1839" s="123"/>
      <c r="G1839" s="184"/>
      <c r="H1839" s="125"/>
      <c r="I1839" s="126"/>
      <c r="J1839" s="37"/>
      <c r="K1839" s="159"/>
      <c r="L1839" s="160"/>
    </row>
    <row r="1840" spans="1:12" x14ac:dyDescent="0.2">
      <c r="A1840" s="129" t="str">
        <f>IF(F1840&lt;&gt;"",1+MAX($A$6:B1848),"")</f>
        <v/>
      </c>
      <c r="B1840" s="126"/>
      <c r="C1840" s="120"/>
      <c r="D1840" s="120"/>
      <c r="E1840" s="172" t="s">
        <v>587</v>
      </c>
      <c r="F1840" s="123"/>
      <c r="G1840" s="184"/>
      <c r="H1840" s="125"/>
      <c r="I1840" s="126"/>
      <c r="J1840" s="23"/>
      <c r="K1840" s="207"/>
      <c r="L1840" s="160"/>
    </row>
    <row r="1841" spans="1:12" x14ac:dyDescent="0.2">
      <c r="A1841" s="129">
        <f ca="1">IF(F1841&lt;&gt;"",1+MAX($A$6:B1849),"")</f>
        <v>816</v>
      </c>
      <c r="B1841" s="126" t="s">
        <v>458</v>
      </c>
      <c r="C1841" s="120" t="s">
        <v>459</v>
      </c>
      <c r="D1841" s="186">
        <f>H1841*0.334/27</f>
        <v>367.4816444444445</v>
      </c>
      <c r="E1841" s="122" t="s">
        <v>588</v>
      </c>
      <c r="F1841" s="123">
        <v>27006</v>
      </c>
      <c r="G1841" s="184">
        <v>0.1</v>
      </c>
      <c r="H1841" s="125">
        <f t="shared" si="195"/>
        <v>29706.600000000002</v>
      </c>
      <c r="I1841" s="126" t="s">
        <v>18</v>
      </c>
      <c r="J1841" s="37">
        <v>0</v>
      </c>
      <c r="K1841" s="159">
        <f t="shared" si="196"/>
        <v>0</v>
      </c>
      <c r="L1841" s="160"/>
    </row>
    <row r="1842" spans="1:12" x14ac:dyDescent="0.2">
      <c r="A1842" s="129">
        <f ca="1">IF(F1842&lt;&gt;"",1+MAX($A$6:B1850),"")</f>
        <v>817</v>
      </c>
      <c r="B1842" s="126" t="s">
        <v>458</v>
      </c>
      <c r="C1842" s="120" t="s">
        <v>459</v>
      </c>
      <c r="D1842" s="120"/>
      <c r="E1842" s="122" t="s">
        <v>589</v>
      </c>
      <c r="F1842" s="123">
        <f>0.668*1.2*2*F1841/1.33</f>
        <v>32553.397894736841</v>
      </c>
      <c r="G1842" s="184">
        <v>0.1</v>
      </c>
      <c r="H1842" s="125">
        <f t="shared" si="195"/>
        <v>35808.73768421053</v>
      </c>
      <c r="I1842" s="126" t="s">
        <v>292</v>
      </c>
      <c r="J1842" s="37">
        <f>$J$15</f>
        <v>0</v>
      </c>
      <c r="K1842" s="159">
        <f t="shared" si="196"/>
        <v>0</v>
      </c>
      <c r="L1842" s="160"/>
    </row>
    <row r="1843" spans="1:12" x14ac:dyDescent="0.2">
      <c r="A1843" s="129">
        <f ca="1">IF(F1843&lt;&gt;"",1+MAX($A$6:B1851),"")</f>
        <v>818</v>
      </c>
      <c r="B1843" s="126" t="s">
        <v>458</v>
      </c>
      <c r="C1843" s="120" t="s">
        <v>459</v>
      </c>
      <c r="D1843" s="120"/>
      <c r="E1843" s="122" t="s">
        <v>590</v>
      </c>
      <c r="F1843" s="123">
        <v>713</v>
      </c>
      <c r="G1843" s="184">
        <v>0.1</v>
      </c>
      <c r="H1843" s="125">
        <f t="shared" si="195"/>
        <v>784.30000000000007</v>
      </c>
      <c r="I1843" s="126" t="s">
        <v>15</v>
      </c>
      <c r="J1843" s="37">
        <v>0</v>
      </c>
      <c r="K1843" s="159">
        <f t="shared" si="196"/>
        <v>0</v>
      </c>
      <c r="L1843" s="160"/>
    </row>
    <row r="1844" spans="1:12" x14ac:dyDescent="0.2">
      <c r="A1844" s="129">
        <f ca="1">IF(F1844&lt;&gt;"",1+MAX($A$6:B1852),"")</f>
        <v>819</v>
      </c>
      <c r="B1844" s="126" t="s">
        <v>458</v>
      </c>
      <c r="C1844" s="120" t="s">
        <v>459</v>
      </c>
      <c r="D1844" s="120"/>
      <c r="E1844" s="122" t="s">
        <v>591</v>
      </c>
      <c r="F1844" s="123">
        <f>0.16*F1841</f>
        <v>4320.96</v>
      </c>
      <c r="G1844" s="184">
        <v>0.1</v>
      </c>
      <c r="H1844" s="125">
        <f t="shared" si="195"/>
        <v>4753.0560000000005</v>
      </c>
      <c r="I1844" s="126" t="s">
        <v>15</v>
      </c>
      <c r="J1844" s="37">
        <v>0</v>
      </c>
      <c r="K1844" s="159">
        <f t="shared" si="196"/>
        <v>0</v>
      </c>
      <c r="L1844" s="160"/>
    </row>
    <row r="1845" spans="1:12" x14ac:dyDescent="0.2">
      <c r="A1845" s="129">
        <f ca="1">IF(F1845&lt;&gt;"",1+MAX($A$6:B1853),"")</f>
        <v>820</v>
      </c>
      <c r="B1845" s="126" t="s">
        <v>458</v>
      </c>
      <c r="C1845" s="120" t="s">
        <v>459</v>
      </c>
      <c r="D1845" s="120"/>
      <c r="E1845" s="122" t="s">
        <v>592</v>
      </c>
      <c r="F1845" s="123">
        <f>F1843</f>
        <v>713</v>
      </c>
      <c r="G1845" s="184">
        <v>0.1</v>
      </c>
      <c r="H1845" s="125">
        <f t="shared" si="195"/>
        <v>784.30000000000007</v>
      </c>
      <c r="I1845" s="126" t="s">
        <v>15</v>
      </c>
      <c r="J1845" s="37">
        <v>0</v>
      </c>
      <c r="K1845" s="159">
        <f t="shared" si="196"/>
        <v>0</v>
      </c>
      <c r="L1845" s="160"/>
    </row>
    <row r="1846" spans="1:12" x14ac:dyDescent="0.2">
      <c r="A1846" s="129">
        <f ca="1">IF(F1846&lt;&gt;"",1+MAX($A$6:B1854),"")</f>
        <v>821</v>
      </c>
      <c r="B1846" s="126" t="s">
        <v>458</v>
      </c>
      <c r="C1846" s="120" t="s">
        <v>459</v>
      </c>
      <c r="D1846" s="120"/>
      <c r="E1846" s="122" t="s">
        <v>593</v>
      </c>
      <c r="F1846" s="123">
        <f>F1841</f>
        <v>27006</v>
      </c>
      <c r="G1846" s="184">
        <v>0.1</v>
      </c>
      <c r="H1846" s="125">
        <f t="shared" si="195"/>
        <v>29706.600000000002</v>
      </c>
      <c r="I1846" s="126" t="s">
        <v>18</v>
      </c>
      <c r="J1846" s="37">
        <v>0</v>
      </c>
      <c r="K1846" s="159">
        <f t="shared" si="196"/>
        <v>0</v>
      </c>
      <c r="L1846" s="160"/>
    </row>
    <row r="1847" spans="1:12" x14ac:dyDescent="0.2">
      <c r="A1847" s="129">
        <f ca="1">IF(F1847&lt;&gt;"",1+MAX($A$6:B1855),"")</f>
        <v>822</v>
      </c>
      <c r="B1847" s="126" t="s">
        <v>458</v>
      </c>
      <c r="C1847" s="120" t="s">
        <v>459</v>
      </c>
      <c r="D1847" s="120"/>
      <c r="E1847" s="122" t="s">
        <v>594</v>
      </c>
      <c r="F1847" s="123">
        <f>F1846*0.33/27</f>
        <v>330.07333333333332</v>
      </c>
      <c r="G1847" s="184">
        <v>0.1</v>
      </c>
      <c r="H1847" s="125">
        <f t="shared" si="195"/>
        <v>363.08066666666667</v>
      </c>
      <c r="I1847" s="126" t="s">
        <v>461</v>
      </c>
      <c r="J1847" s="37">
        <f>K$196</f>
        <v>0</v>
      </c>
      <c r="K1847" s="159">
        <f t="shared" si="196"/>
        <v>0</v>
      </c>
      <c r="L1847" s="160"/>
    </row>
    <row r="1848" spans="1:12" x14ac:dyDescent="0.2">
      <c r="A1848" s="129" t="str">
        <f>IF(F1848&lt;&gt;"",1+MAX($A$6:B1856),"")</f>
        <v/>
      </c>
      <c r="B1848" s="126"/>
      <c r="C1848" s="120"/>
      <c r="D1848" s="120"/>
      <c r="E1848" s="172" t="s">
        <v>595</v>
      </c>
      <c r="F1848" s="123"/>
      <c r="G1848" s="184"/>
      <c r="H1848" s="125"/>
      <c r="I1848" s="126"/>
      <c r="J1848" s="37"/>
      <c r="K1848" s="159"/>
      <c r="L1848" s="160"/>
    </row>
    <row r="1849" spans="1:12" x14ac:dyDescent="0.2">
      <c r="A1849" s="129">
        <f ca="1">IF(F1849&lt;&gt;"",1+MAX($A$6:B1857),"")</f>
        <v>823</v>
      </c>
      <c r="B1849" s="126" t="s">
        <v>458</v>
      </c>
      <c r="C1849" s="120" t="s">
        <v>459</v>
      </c>
      <c r="D1849" s="120"/>
      <c r="E1849" s="122" t="s">
        <v>596</v>
      </c>
      <c r="F1849" s="123">
        <f>F1845*1*0.33/27</f>
        <v>8.714444444444446</v>
      </c>
      <c r="G1849" s="184">
        <v>0.1</v>
      </c>
      <c r="H1849" s="125">
        <f t="shared" si="195"/>
        <v>9.585888888888892</v>
      </c>
      <c r="I1849" s="126" t="s">
        <v>461</v>
      </c>
      <c r="J1849" s="37">
        <v>0</v>
      </c>
      <c r="K1849" s="159">
        <f t="shared" si="196"/>
        <v>0</v>
      </c>
      <c r="L1849" s="160"/>
    </row>
    <row r="1850" spans="1:12" x14ac:dyDescent="0.2">
      <c r="A1850" s="129">
        <f ca="1">IF(F1850&lt;&gt;"",1+MAX($A$6:B1858),"")</f>
        <v>824</v>
      </c>
      <c r="B1850" s="126" t="s">
        <v>458</v>
      </c>
      <c r="C1850" s="120" t="s">
        <v>459</v>
      </c>
      <c r="D1850" s="120"/>
      <c r="E1850" s="122" t="s">
        <v>590</v>
      </c>
      <c r="F1850" s="123">
        <f>F1845</f>
        <v>713</v>
      </c>
      <c r="G1850" s="184">
        <v>0.1</v>
      </c>
      <c r="H1850" s="125">
        <f t="shared" si="195"/>
        <v>784.30000000000007</v>
      </c>
      <c r="I1850" s="126" t="s">
        <v>15</v>
      </c>
      <c r="J1850" s="37">
        <f>$J$320</f>
        <v>0</v>
      </c>
      <c r="K1850" s="159">
        <f t="shared" si="196"/>
        <v>0</v>
      </c>
      <c r="L1850" s="160"/>
    </row>
    <row r="1851" spans="1:12" x14ac:dyDescent="0.2">
      <c r="A1851" s="129">
        <f ca="1">IF(F1851&lt;&gt;"",1+MAX($A$6:B1859),"")</f>
        <v>825</v>
      </c>
      <c r="B1851" s="126" t="s">
        <v>458</v>
      </c>
      <c r="C1851" s="120" t="s">
        <v>523</v>
      </c>
      <c r="D1851" s="120"/>
      <c r="E1851" s="122" t="s">
        <v>597</v>
      </c>
      <c r="F1851" s="123">
        <v>29</v>
      </c>
      <c r="G1851" s="184">
        <v>0</v>
      </c>
      <c r="H1851" s="125">
        <f t="shared" si="195"/>
        <v>29</v>
      </c>
      <c r="I1851" s="126" t="s">
        <v>20</v>
      </c>
      <c r="J1851" s="37">
        <v>0</v>
      </c>
      <c r="K1851" s="159">
        <f t="shared" si="196"/>
        <v>0</v>
      </c>
      <c r="L1851" s="160"/>
    </row>
    <row r="1852" spans="1:12" x14ac:dyDescent="0.2">
      <c r="A1852" s="129">
        <f ca="1">IF(F1852&lt;&gt;"",1+MAX($A$6:B1860),"")</f>
        <v>826</v>
      </c>
      <c r="B1852" s="126" t="s">
        <v>458</v>
      </c>
      <c r="C1852" s="120" t="s">
        <v>523</v>
      </c>
      <c r="D1852" s="120"/>
      <c r="E1852" s="122" t="s">
        <v>598</v>
      </c>
      <c r="F1852" s="123">
        <f>4*29*4.2*0.668*1.2</f>
        <v>390.53952000000004</v>
      </c>
      <c r="G1852" s="184">
        <v>0.1</v>
      </c>
      <c r="H1852" s="125">
        <f t="shared" si="195"/>
        <v>429.59347200000008</v>
      </c>
      <c r="I1852" s="126" t="s">
        <v>292</v>
      </c>
      <c r="J1852" s="37">
        <f t="shared" ref="J1852:J1853" si="288">$J$15</f>
        <v>0</v>
      </c>
      <c r="K1852" s="159">
        <f t="shared" si="196"/>
        <v>0</v>
      </c>
      <c r="L1852" s="160"/>
    </row>
    <row r="1853" spans="1:12" x14ac:dyDescent="0.2">
      <c r="A1853" s="129">
        <f ca="1">IF(F1853&lt;&gt;"",1+MAX($A$6:B1861),"")</f>
        <v>827</v>
      </c>
      <c r="B1853" s="126" t="s">
        <v>458</v>
      </c>
      <c r="C1853" s="120" t="s">
        <v>523</v>
      </c>
      <c r="D1853" s="120"/>
      <c r="E1853" s="122" t="s">
        <v>599</v>
      </c>
      <c r="F1853" s="123">
        <f>4*29*1.75*1.043*1.2</f>
        <v>254.07479999999998</v>
      </c>
      <c r="G1853" s="184">
        <v>0.1</v>
      </c>
      <c r="H1853" s="125">
        <f t="shared" si="195"/>
        <v>279.48228</v>
      </c>
      <c r="I1853" s="126" t="s">
        <v>292</v>
      </c>
      <c r="J1853" s="37">
        <f t="shared" si="288"/>
        <v>0</v>
      </c>
      <c r="K1853" s="159">
        <f t="shared" si="196"/>
        <v>0</v>
      </c>
      <c r="L1853" s="160"/>
    </row>
    <row r="1854" spans="1:12" x14ac:dyDescent="0.2">
      <c r="A1854" s="129" t="str">
        <f>IF(F1854&lt;&gt;"",1+MAX($A$6:B1862),"")</f>
        <v/>
      </c>
      <c r="B1854" s="126"/>
      <c r="C1854" s="120"/>
      <c r="D1854" s="120"/>
      <c r="E1854" s="122"/>
      <c r="F1854" s="123"/>
      <c r="G1854" s="184"/>
      <c r="H1854" s="125"/>
      <c r="I1854" s="126"/>
      <c r="J1854" s="37"/>
      <c r="K1854" s="159"/>
      <c r="L1854" s="160"/>
    </row>
    <row r="1855" spans="1:12" x14ac:dyDescent="0.2">
      <c r="A1855" s="129" t="str">
        <f>IF(F1855&lt;&gt;"",1+MAX($A$6:B1863),"")</f>
        <v/>
      </c>
      <c r="B1855" s="126"/>
      <c r="C1855" s="120"/>
      <c r="D1855" s="120"/>
      <c r="E1855" s="172" t="s">
        <v>600</v>
      </c>
      <c r="F1855" s="123"/>
      <c r="G1855" s="184"/>
      <c r="H1855" s="125"/>
      <c r="I1855" s="126"/>
      <c r="J1855" s="23"/>
      <c r="K1855" s="207"/>
      <c r="L1855" s="160"/>
    </row>
    <row r="1856" spans="1:12" x14ac:dyDescent="0.2">
      <c r="A1856" s="129">
        <f ca="1">IF(F1856&lt;&gt;"",1+MAX($A$6:B1864),"")</f>
        <v>828</v>
      </c>
      <c r="B1856" s="126" t="s">
        <v>458</v>
      </c>
      <c r="C1856" s="120" t="s">
        <v>601</v>
      </c>
      <c r="D1856" s="120"/>
      <c r="E1856" s="122" t="s">
        <v>596</v>
      </c>
      <c r="F1856" s="123">
        <f>21*1.67/27</f>
        <v>1.298888888888889</v>
      </c>
      <c r="G1856" s="184">
        <v>0.1</v>
      </c>
      <c r="H1856" s="125">
        <f t="shared" si="195"/>
        <v>1.4287777777777779</v>
      </c>
      <c r="I1856" s="126" t="s">
        <v>461</v>
      </c>
      <c r="J1856" s="37">
        <f>$J$326</f>
        <v>0</v>
      </c>
      <c r="K1856" s="159">
        <f t="shared" si="196"/>
        <v>0</v>
      </c>
      <c r="L1856" s="160"/>
    </row>
    <row r="1857" spans="1:12" x14ac:dyDescent="0.2">
      <c r="A1857" s="129">
        <f ca="1">IF(F1857&lt;&gt;"",1+MAX($A$6:B1865),"")</f>
        <v>829</v>
      </c>
      <c r="B1857" s="126" t="s">
        <v>458</v>
      </c>
      <c r="C1857" s="120" t="s">
        <v>601</v>
      </c>
      <c r="D1857" s="120"/>
      <c r="E1857" s="122" t="s">
        <v>602</v>
      </c>
      <c r="F1857" s="123">
        <f>21*0.67*2</f>
        <v>28.14</v>
      </c>
      <c r="G1857" s="184">
        <v>0.1</v>
      </c>
      <c r="H1857" s="125">
        <f t="shared" si="195"/>
        <v>30.954000000000004</v>
      </c>
      <c r="I1857" s="126" t="s">
        <v>463</v>
      </c>
      <c r="J1857" s="37">
        <f>$J$12</f>
        <v>0</v>
      </c>
      <c r="K1857" s="159">
        <f t="shared" si="196"/>
        <v>0</v>
      </c>
      <c r="L1857" s="160"/>
    </row>
    <row r="1858" spans="1:12" x14ac:dyDescent="0.2">
      <c r="A1858" s="129">
        <f ca="1">IF(F1858&lt;&gt;"",1+MAX($A$6:B1866),"")</f>
        <v>830</v>
      </c>
      <c r="B1858" s="126" t="s">
        <v>458</v>
      </c>
      <c r="C1858" s="120" t="s">
        <v>601</v>
      </c>
      <c r="D1858" s="120"/>
      <c r="E1858" s="122" t="s">
        <v>486</v>
      </c>
      <c r="F1858" s="123">
        <f>4*21*1.043*1.2</f>
        <v>105.13439999999999</v>
      </c>
      <c r="G1858" s="184">
        <v>0.1</v>
      </c>
      <c r="H1858" s="125">
        <f t="shared" si="195"/>
        <v>115.64783999999999</v>
      </c>
      <c r="I1858" s="126" t="s">
        <v>292</v>
      </c>
      <c r="J1858" s="37">
        <f t="shared" ref="J1858:J1859" si="289">$J$15</f>
        <v>0</v>
      </c>
      <c r="K1858" s="159">
        <f t="shared" si="196"/>
        <v>0</v>
      </c>
      <c r="L1858" s="160"/>
    </row>
    <row r="1859" spans="1:12" x14ac:dyDescent="0.2">
      <c r="A1859" s="129">
        <f ca="1">IF(F1859&lt;&gt;"",1+MAX($A$6:B1867),"")</f>
        <v>831</v>
      </c>
      <c r="B1859" s="126" t="s">
        <v>458</v>
      </c>
      <c r="C1859" s="120" t="s">
        <v>601</v>
      </c>
      <c r="D1859" s="120"/>
      <c r="E1859" s="122" t="s">
        <v>603</v>
      </c>
      <c r="F1859" s="123">
        <f>21/1.33*4*0.668*1.2</f>
        <v>50.62736842105263</v>
      </c>
      <c r="G1859" s="184">
        <v>0.1</v>
      </c>
      <c r="H1859" s="125">
        <f t="shared" ref="H1859" si="290">F1859*(1+G1859)</f>
        <v>55.690105263157896</v>
      </c>
      <c r="I1859" s="126" t="s">
        <v>292</v>
      </c>
      <c r="J1859" s="37">
        <f t="shared" si="289"/>
        <v>0</v>
      </c>
      <c r="K1859" s="159">
        <f t="shared" ref="K1859" si="291">J1859*H1859</f>
        <v>0</v>
      </c>
      <c r="L1859" s="160"/>
    </row>
    <row r="1860" spans="1:12" x14ac:dyDescent="0.2">
      <c r="A1860" s="129" t="str">
        <f>IF(F1860&lt;&gt;"",1+MAX($A$6:B1868),"")</f>
        <v/>
      </c>
      <c r="B1860" s="126"/>
      <c r="C1860" s="120"/>
      <c r="D1860" s="120"/>
      <c r="E1860" s="122"/>
      <c r="F1860" s="123"/>
      <c r="G1860" s="184"/>
      <c r="H1860" s="125"/>
      <c r="I1860" s="126"/>
      <c r="J1860" s="37"/>
      <c r="K1860" s="159"/>
      <c r="L1860" s="160"/>
    </row>
    <row r="1861" spans="1:12" x14ac:dyDescent="0.2">
      <c r="A1861" s="129" t="str">
        <f>IF(F1861&lt;&gt;"",1+MAX($A$6:B1869),"")</f>
        <v/>
      </c>
      <c r="B1861" s="126"/>
      <c r="C1861" s="120"/>
      <c r="D1861" s="120"/>
      <c r="E1861" s="172" t="s">
        <v>604</v>
      </c>
      <c r="F1861" s="123"/>
      <c r="G1861" s="184"/>
      <c r="H1861" s="125"/>
      <c r="I1861" s="126"/>
      <c r="J1861" s="23"/>
      <c r="K1861" s="207"/>
      <c r="L1861" s="160"/>
    </row>
    <row r="1862" spans="1:12" x14ac:dyDescent="0.2">
      <c r="A1862" s="129">
        <f ca="1">IF(F1862&lt;&gt;"",1+MAX($A$6:B1870),"")</f>
        <v>832</v>
      </c>
      <c r="B1862" s="126" t="s">
        <v>458</v>
      </c>
      <c r="C1862" s="120" t="s">
        <v>605</v>
      </c>
      <c r="D1862" s="120"/>
      <c r="E1862" s="122" t="s">
        <v>596</v>
      </c>
      <c r="F1862" s="123">
        <f>110*0.67*0.33/27</f>
        <v>0.90077777777777779</v>
      </c>
      <c r="G1862" s="184">
        <v>0.1</v>
      </c>
      <c r="H1862" s="125">
        <f t="shared" ref="H1862:H1865" si="292">F1862*(1+G1862)</f>
        <v>0.9908555555555556</v>
      </c>
      <c r="I1862" s="126" t="s">
        <v>461</v>
      </c>
      <c r="J1862" s="37">
        <f>$J$326</f>
        <v>0</v>
      </c>
      <c r="K1862" s="159">
        <f t="shared" ref="K1862:K1865" si="293">J1862*H1862</f>
        <v>0</v>
      </c>
      <c r="L1862" s="160"/>
    </row>
    <row r="1863" spans="1:12" x14ac:dyDescent="0.2">
      <c r="A1863" s="129">
        <f ca="1">IF(F1863&lt;&gt;"",1+MAX($A$6:B1871),"")</f>
        <v>833</v>
      </c>
      <c r="B1863" s="126" t="s">
        <v>458</v>
      </c>
      <c r="C1863" s="120" t="s">
        <v>605</v>
      </c>
      <c r="D1863" s="120"/>
      <c r="E1863" s="122" t="s">
        <v>606</v>
      </c>
      <c r="F1863" s="123">
        <f>110*0.33</f>
        <v>36.300000000000004</v>
      </c>
      <c r="G1863" s="184">
        <v>0.1</v>
      </c>
      <c r="H1863" s="125">
        <f t="shared" si="292"/>
        <v>39.930000000000007</v>
      </c>
      <c r="I1863" s="126" t="s">
        <v>463</v>
      </c>
      <c r="J1863" s="37">
        <v>0</v>
      </c>
      <c r="K1863" s="159">
        <f t="shared" si="293"/>
        <v>0</v>
      </c>
      <c r="L1863" s="160"/>
    </row>
    <row r="1864" spans="1:12" x14ac:dyDescent="0.2">
      <c r="A1864" s="129">
        <f ca="1">IF(F1864&lt;&gt;"",1+MAX($A$6:B1872),"")</f>
        <v>834</v>
      </c>
      <c r="B1864" s="126" t="s">
        <v>458</v>
      </c>
      <c r="C1864" s="120" t="s">
        <v>605</v>
      </c>
      <c r="D1864" s="120"/>
      <c r="E1864" s="122" t="s">
        <v>607</v>
      </c>
      <c r="F1864" s="123">
        <f>110*0.668*1.2</f>
        <v>88.176000000000002</v>
      </c>
      <c r="G1864" s="184">
        <v>0.1</v>
      </c>
      <c r="H1864" s="125">
        <f t="shared" si="292"/>
        <v>96.993600000000015</v>
      </c>
      <c r="I1864" s="126" t="s">
        <v>292</v>
      </c>
      <c r="J1864" s="37">
        <f t="shared" ref="J1864:J1865" si="294">$J$15</f>
        <v>0</v>
      </c>
      <c r="K1864" s="159">
        <f t="shared" si="293"/>
        <v>0</v>
      </c>
      <c r="L1864" s="160"/>
    </row>
    <row r="1865" spans="1:12" x14ac:dyDescent="0.2">
      <c r="A1865" s="129">
        <f ca="1">IF(F1865&lt;&gt;"",1+MAX($A$6:B1873),"")</f>
        <v>835</v>
      </c>
      <c r="B1865" s="126" t="s">
        <v>458</v>
      </c>
      <c r="C1865" s="120" t="s">
        <v>605</v>
      </c>
      <c r="D1865" s="120"/>
      <c r="E1865" s="122" t="s">
        <v>603</v>
      </c>
      <c r="F1865" s="123">
        <f>110/1.33*2.5*0.668*1.2</f>
        <v>165.74436090225561</v>
      </c>
      <c r="G1865" s="184">
        <v>0.1</v>
      </c>
      <c r="H1865" s="125">
        <f t="shared" si="292"/>
        <v>182.3187969924812</v>
      </c>
      <c r="I1865" s="126" t="s">
        <v>292</v>
      </c>
      <c r="J1865" s="37">
        <f t="shared" si="294"/>
        <v>0</v>
      </c>
      <c r="K1865" s="159">
        <f t="shared" si="293"/>
        <v>0</v>
      </c>
      <c r="L1865" s="160"/>
    </row>
    <row r="1866" spans="1:12" x14ac:dyDescent="0.2">
      <c r="A1866" s="129" t="str">
        <f>IF(F1866&lt;&gt;"",1+MAX($A$6:B1874),"")</f>
        <v/>
      </c>
      <c r="B1866" s="126"/>
      <c r="C1866" s="120"/>
      <c r="D1866" s="120"/>
      <c r="E1866" s="122"/>
      <c r="F1866" s="123"/>
      <c r="G1866" s="184"/>
      <c r="H1866" s="125"/>
      <c r="I1866" s="126"/>
      <c r="J1866" s="37"/>
      <c r="K1866" s="159"/>
      <c r="L1866" s="160"/>
    </row>
    <row r="1867" spans="1:12" x14ac:dyDescent="0.2">
      <c r="A1867" s="129" t="str">
        <f>IF(F1867&lt;&gt;"",1+MAX($A$6:B1875),"")</f>
        <v/>
      </c>
      <c r="B1867" s="126"/>
      <c r="C1867" s="120"/>
      <c r="D1867" s="120"/>
      <c r="E1867" s="172" t="s">
        <v>608</v>
      </c>
      <c r="F1867" s="123"/>
      <c r="G1867" s="184"/>
      <c r="H1867" s="125"/>
      <c r="I1867" s="126"/>
      <c r="J1867" s="23"/>
      <c r="K1867" s="207"/>
      <c r="L1867" s="160"/>
    </row>
    <row r="1868" spans="1:12" x14ac:dyDescent="0.2">
      <c r="A1868" s="129" t="str">
        <f>IF(F1868&lt;&gt;"",1+MAX($A$6:B1876),"")</f>
        <v/>
      </c>
      <c r="B1868" s="126"/>
      <c r="C1868" s="120"/>
      <c r="D1868" s="120"/>
      <c r="E1868" s="172" t="s">
        <v>609</v>
      </c>
      <c r="F1868" s="123"/>
      <c r="G1868" s="184"/>
      <c r="H1868" s="125"/>
      <c r="I1868" s="126"/>
      <c r="J1868" s="37"/>
      <c r="K1868" s="159"/>
      <c r="L1868" s="160"/>
    </row>
    <row r="1869" spans="1:12" x14ac:dyDescent="0.2">
      <c r="A1869" s="129">
        <f ca="1">IF(F1869&lt;&gt;"",1+MAX($A$6:B1877),"")</f>
        <v>836</v>
      </c>
      <c r="B1869" s="126" t="s">
        <v>610</v>
      </c>
      <c r="C1869" s="120" t="s">
        <v>459</v>
      </c>
      <c r="D1869" s="186">
        <f>H1869/27*0.83</f>
        <v>303.55559259259257</v>
      </c>
      <c r="E1869" s="122" t="s">
        <v>611</v>
      </c>
      <c r="F1869" s="123">
        <v>8977</v>
      </c>
      <c r="G1869" s="184">
        <v>0.1</v>
      </c>
      <c r="H1869" s="125">
        <f>F1869*(1+G1869)</f>
        <v>9874.7000000000007</v>
      </c>
      <c r="I1869" s="126" t="s">
        <v>18</v>
      </c>
      <c r="J1869" s="37">
        <v>0</v>
      </c>
      <c r="K1869" s="159">
        <f>J1869*H1869</f>
        <v>0</v>
      </c>
      <c r="L1869" s="160"/>
    </row>
    <row r="1870" spans="1:12" x14ac:dyDescent="0.2">
      <c r="A1870" s="129">
        <f ca="1">IF(F1870&lt;&gt;"",1+MAX($A$6:B1878),"")</f>
        <v>837</v>
      </c>
      <c r="B1870" s="126" t="s">
        <v>610</v>
      </c>
      <c r="C1870" s="120" t="s">
        <v>459</v>
      </c>
      <c r="D1870" s="187"/>
      <c r="E1870" s="122" t="s">
        <v>612</v>
      </c>
      <c r="F1870" s="123">
        <v>406</v>
      </c>
      <c r="G1870" s="184">
        <v>0.1</v>
      </c>
      <c r="H1870" s="125">
        <f t="shared" ref="H1870:H1873" si="295">F1870*(1+G1870)</f>
        <v>446.6</v>
      </c>
      <c r="I1870" s="126" t="s">
        <v>15</v>
      </c>
      <c r="J1870" s="37">
        <v>0</v>
      </c>
      <c r="K1870" s="159">
        <f t="shared" ref="K1870:K1873" si="296">J1870*H1870</f>
        <v>0</v>
      </c>
      <c r="L1870" s="160"/>
    </row>
    <row r="1871" spans="1:12" x14ac:dyDescent="0.2">
      <c r="A1871" s="129">
        <f ca="1">IF(F1871&lt;&gt;"",1+MAX($A$6:B1879),"")</f>
        <v>838</v>
      </c>
      <c r="B1871" s="126" t="s">
        <v>610</v>
      </c>
      <c r="C1871" s="120" t="s">
        <v>459</v>
      </c>
      <c r="D1871" s="187"/>
      <c r="E1871" s="122" t="s">
        <v>613</v>
      </c>
      <c r="F1871" s="123">
        <v>8977</v>
      </c>
      <c r="G1871" s="184">
        <v>0.1</v>
      </c>
      <c r="H1871" s="125">
        <f t="shared" si="295"/>
        <v>9874.7000000000007</v>
      </c>
      <c r="I1871" s="126" t="s">
        <v>18</v>
      </c>
      <c r="J1871" s="37">
        <v>0</v>
      </c>
      <c r="K1871" s="159">
        <f t="shared" si="296"/>
        <v>0</v>
      </c>
      <c r="L1871" s="160"/>
    </row>
    <row r="1872" spans="1:12" x14ac:dyDescent="0.2">
      <c r="A1872" s="129">
        <f ca="1">IF(F1872&lt;&gt;"",1+MAX($A$6:B1880),"")</f>
        <v>839</v>
      </c>
      <c r="B1872" s="126" t="s">
        <v>610</v>
      </c>
      <c r="C1872" s="120" t="s">
        <v>459</v>
      </c>
      <c r="D1872" s="187"/>
      <c r="E1872" s="122" t="s">
        <v>591</v>
      </c>
      <c r="F1872" s="123">
        <f>0.16*F1871</f>
        <v>1436.32</v>
      </c>
      <c r="G1872" s="184">
        <v>0.1</v>
      </c>
      <c r="H1872" s="125">
        <f t="shared" si="295"/>
        <v>1579.952</v>
      </c>
      <c r="I1872" s="126" t="s">
        <v>15</v>
      </c>
      <c r="J1872" s="37">
        <f>$J$321</f>
        <v>0</v>
      </c>
      <c r="K1872" s="159">
        <f t="shared" si="296"/>
        <v>0</v>
      </c>
      <c r="L1872" s="160"/>
    </row>
    <row r="1873" spans="1:12" x14ac:dyDescent="0.2">
      <c r="A1873" s="129">
        <f ca="1">IF(F1873&lt;&gt;"",1+MAX($A$6:B1881),"")</f>
        <v>840</v>
      </c>
      <c r="B1873" s="126" t="s">
        <v>610</v>
      </c>
      <c r="C1873" s="120" t="s">
        <v>459</v>
      </c>
      <c r="D1873" s="120"/>
      <c r="E1873" s="122" t="s">
        <v>614</v>
      </c>
      <c r="F1873" s="123">
        <f>1.5*1.2*2*2*F1869/1.5</f>
        <v>43089.599999999999</v>
      </c>
      <c r="G1873" s="184">
        <v>0.1</v>
      </c>
      <c r="H1873" s="125">
        <f t="shared" si="295"/>
        <v>47398.560000000005</v>
      </c>
      <c r="I1873" s="126" t="s">
        <v>292</v>
      </c>
      <c r="J1873" s="37">
        <f>$J$15</f>
        <v>0</v>
      </c>
      <c r="K1873" s="159">
        <f t="shared" si="296"/>
        <v>0</v>
      </c>
      <c r="L1873" s="160"/>
    </row>
    <row r="1874" spans="1:12" x14ac:dyDescent="0.2">
      <c r="A1874" s="129" t="str">
        <f>IF(F1874&lt;&gt;"",1+MAX($A$6:B1882),"")</f>
        <v/>
      </c>
      <c r="B1874" s="126"/>
      <c r="C1874" s="120"/>
      <c r="D1874" s="187"/>
      <c r="E1874" s="172" t="s">
        <v>615</v>
      </c>
      <c r="F1874" s="123"/>
      <c r="G1874" s="184"/>
      <c r="H1874" s="125"/>
      <c r="I1874" s="126"/>
      <c r="J1874" s="37"/>
      <c r="K1874" s="159"/>
      <c r="L1874" s="160"/>
    </row>
    <row r="1875" spans="1:12" x14ac:dyDescent="0.2">
      <c r="A1875" s="129">
        <f ca="1">IF(F1875&lt;&gt;"",1+MAX($A$6:B1883),"")</f>
        <v>841</v>
      </c>
      <c r="B1875" s="126" t="s">
        <v>610</v>
      </c>
      <c r="C1875" s="120" t="s">
        <v>459</v>
      </c>
      <c r="D1875" s="186">
        <f>H1875/27*0.83</f>
        <v>67.08859259259259</v>
      </c>
      <c r="E1875" s="122" t="s">
        <v>611</v>
      </c>
      <c r="F1875" s="123">
        <v>1984</v>
      </c>
      <c r="G1875" s="184">
        <v>0.1</v>
      </c>
      <c r="H1875" s="125">
        <f>F1875*(1+G1875)</f>
        <v>2182.4</v>
      </c>
      <c r="I1875" s="126" t="s">
        <v>18</v>
      </c>
      <c r="J1875" s="37">
        <v>0</v>
      </c>
      <c r="K1875" s="159">
        <f>J1875*H1875</f>
        <v>0</v>
      </c>
      <c r="L1875" s="160"/>
    </row>
    <row r="1876" spans="1:12" x14ac:dyDescent="0.2">
      <c r="A1876" s="129">
        <f ca="1">IF(F1876&lt;&gt;"",1+MAX($A$6:B1884),"")</f>
        <v>842</v>
      </c>
      <c r="B1876" s="126" t="s">
        <v>610</v>
      </c>
      <c r="C1876" s="120" t="s">
        <v>459</v>
      </c>
      <c r="D1876" s="187"/>
      <c r="E1876" s="122" t="s">
        <v>612</v>
      </c>
      <c r="F1876" s="123">
        <v>230</v>
      </c>
      <c r="G1876" s="184">
        <v>0.1</v>
      </c>
      <c r="H1876" s="125">
        <f t="shared" ref="H1876:H1879" si="297">F1876*(1+G1876)</f>
        <v>253.00000000000003</v>
      </c>
      <c r="I1876" s="126" t="s">
        <v>15</v>
      </c>
      <c r="J1876" s="37">
        <f>$J$347</f>
        <v>0</v>
      </c>
      <c r="K1876" s="159">
        <f t="shared" ref="K1876:K1879" si="298">J1876*H1876</f>
        <v>0</v>
      </c>
      <c r="L1876" s="160"/>
    </row>
    <row r="1877" spans="1:12" x14ac:dyDescent="0.2">
      <c r="A1877" s="129">
        <f ca="1">IF(F1877&lt;&gt;"",1+MAX($A$6:B1885),"")</f>
        <v>843</v>
      </c>
      <c r="B1877" s="126" t="s">
        <v>610</v>
      </c>
      <c r="C1877" s="120" t="s">
        <v>459</v>
      </c>
      <c r="D1877" s="187"/>
      <c r="E1877" s="122" t="s">
        <v>613</v>
      </c>
      <c r="F1877" s="123">
        <f>1984</f>
        <v>1984</v>
      </c>
      <c r="G1877" s="184">
        <v>0.1</v>
      </c>
      <c r="H1877" s="125">
        <f t="shared" si="297"/>
        <v>2182.4</v>
      </c>
      <c r="I1877" s="126" t="s">
        <v>18</v>
      </c>
      <c r="J1877" s="37">
        <f>$J$348</f>
        <v>0</v>
      </c>
      <c r="K1877" s="159">
        <f t="shared" si="298"/>
        <v>0</v>
      </c>
      <c r="L1877" s="160"/>
    </row>
    <row r="1878" spans="1:12" x14ac:dyDescent="0.2">
      <c r="A1878" s="129">
        <f ca="1">IF(F1878&lt;&gt;"",1+MAX($A$6:B1886),"")</f>
        <v>844</v>
      </c>
      <c r="B1878" s="126" t="s">
        <v>610</v>
      </c>
      <c r="C1878" s="120" t="s">
        <v>459</v>
      </c>
      <c r="D1878" s="187"/>
      <c r="E1878" s="122" t="s">
        <v>591</v>
      </c>
      <c r="F1878" s="123">
        <f>0.16*F1877</f>
        <v>317.44</v>
      </c>
      <c r="G1878" s="184">
        <v>0.1</v>
      </c>
      <c r="H1878" s="125">
        <f t="shared" si="297"/>
        <v>349.18400000000003</v>
      </c>
      <c r="I1878" s="126" t="s">
        <v>15</v>
      </c>
      <c r="J1878" s="37">
        <f>$J$321</f>
        <v>0</v>
      </c>
      <c r="K1878" s="159">
        <f t="shared" si="298"/>
        <v>0</v>
      </c>
      <c r="L1878" s="160"/>
    </row>
    <row r="1879" spans="1:12" x14ac:dyDescent="0.2">
      <c r="A1879" s="129">
        <f ca="1">IF(F1879&lt;&gt;"",1+MAX($A$6:B1887),"")</f>
        <v>845</v>
      </c>
      <c r="B1879" s="126" t="s">
        <v>610</v>
      </c>
      <c r="C1879" s="120" t="s">
        <v>459</v>
      </c>
      <c r="D1879" s="120"/>
      <c r="E1879" s="122" t="s">
        <v>616</v>
      </c>
      <c r="F1879" s="123">
        <f>1.5*1.2*2*F1875/1.33+1.043*1.2*2*F1875/1.33</f>
        <v>9104.3224060150369</v>
      </c>
      <c r="G1879" s="184">
        <v>0.1</v>
      </c>
      <c r="H1879" s="125">
        <f t="shared" si="297"/>
        <v>10014.754646616542</v>
      </c>
      <c r="I1879" s="126" t="s">
        <v>292</v>
      </c>
      <c r="J1879" s="37">
        <f>$J$15</f>
        <v>0</v>
      </c>
      <c r="K1879" s="159">
        <f t="shared" si="298"/>
        <v>0</v>
      </c>
      <c r="L1879" s="160"/>
    </row>
    <row r="1880" spans="1:12" x14ac:dyDescent="0.2">
      <c r="A1880" s="129" t="str">
        <f>IF(F1880&lt;&gt;"",1+MAX($A$6:B1888),"")</f>
        <v/>
      </c>
      <c r="B1880" s="126"/>
      <c r="C1880" s="120"/>
      <c r="D1880" s="187"/>
      <c r="E1880" s="172" t="s">
        <v>617</v>
      </c>
      <c r="F1880" s="123"/>
      <c r="G1880" s="184"/>
      <c r="H1880" s="125"/>
      <c r="I1880" s="126"/>
      <c r="J1880" s="37"/>
      <c r="K1880" s="159"/>
      <c r="L1880" s="160"/>
    </row>
    <row r="1881" spans="1:12" x14ac:dyDescent="0.2">
      <c r="A1881" s="129">
        <f ca="1">IF(F1881&lt;&gt;"",1+MAX($A$6:B1889),"")</f>
        <v>846</v>
      </c>
      <c r="B1881" s="126" t="s">
        <v>610</v>
      </c>
      <c r="C1881" s="120" t="s">
        <v>459</v>
      </c>
      <c r="D1881" s="186">
        <f>H1881/27*1.5</f>
        <v>37.216666666666669</v>
      </c>
      <c r="E1881" s="122" t="s">
        <v>618</v>
      </c>
      <c r="F1881" s="123">
        <v>609</v>
      </c>
      <c r="G1881" s="184">
        <v>0.1</v>
      </c>
      <c r="H1881" s="125">
        <f>F1881*(1+G1881)</f>
        <v>669.90000000000009</v>
      </c>
      <c r="I1881" s="126" t="s">
        <v>18</v>
      </c>
      <c r="J1881" s="37">
        <v>0</v>
      </c>
      <c r="K1881" s="159">
        <f>J1881*H1881</f>
        <v>0</v>
      </c>
      <c r="L1881" s="160"/>
    </row>
    <row r="1882" spans="1:12" x14ac:dyDescent="0.2">
      <c r="A1882" s="129">
        <f ca="1">IF(F1882&lt;&gt;"",1+MAX($A$6:B1890),"")</f>
        <v>847</v>
      </c>
      <c r="B1882" s="126" t="s">
        <v>610</v>
      </c>
      <c r="C1882" s="120" t="s">
        <v>459</v>
      </c>
      <c r="D1882" s="187"/>
      <c r="E1882" s="122" t="s">
        <v>619</v>
      </c>
      <c r="F1882" s="123">
        <v>109</v>
      </c>
      <c r="G1882" s="184">
        <v>0.1</v>
      </c>
      <c r="H1882" s="125">
        <f t="shared" ref="H1882:H1885" si="299">F1882*(1+G1882)</f>
        <v>119.9</v>
      </c>
      <c r="I1882" s="126" t="s">
        <v>15</v>
      </c>
      <c r="J1882" s="37">
        <v>0</v>
      </c>
      <c r="K1882" s="159">
        <f t="shared" ref="K1882:K1885" si="300">J1882*H1882</f>
        <v>0</v>
      </c>
      <c r="L1882" s="160"/>
    </row>
    <row r="1883" spans="1:12" x14ac:dyDescent="0.2">
      <c r="A1883" s="129">
        <f ca="1">IF(F1883&lt;&gt;"",1+MAX($A$6:B1891),"")</f>
        <v>848</v>
      </c>
      <c r="B1883" s="126" t="s">
        <v>610</v>
      </c>
      <c r="C1883" s="120" t="s">
        <v>459</v>
      </c>
      <c r="D1883" s="187"/>
      <c r="E1883" s="122" t="s">
        <v>613</v>
      </c>
      <c r="F1883" s="123">
        <v>609</v>
      </c>
      <c r="G1883" s="184">
        <v>0.1</v>
      </c>
      <c r="H1883" s="125">
        <f t="shared" si="299"/>
        <v>669.90000000000009</v>
      </c>
      <c r="I1883" s="126" t="s">
        <v>18</v>
      </c>
      <c r="J1883" s="37">
        <f>$J$348</f>
        <v>0</v>
      </c>
      <c r="K1883" s="159">
        <f t="shared" si="300"/>
        <v>0</v>
      </c>
      <c r="L1883" s="160"/>
    </row>
    <row r="1884" spans="1:12" x14ac:dyDescent="0.2">
      <c r="A1884" s="129">
        <f ca="1">IF(F1884&lt;&gt;"",1+MAX($A$6:B1892),"")</f>
        <v>849</v>
      </c>
      <c r="B1884" s="126" t="s">
        <v>610</v>
      </c>
      <c r="C1884" s="120" t="s">
        <v>459</v>
      </c>
      <c r="D1884" s="187"/>
      <c r="E1884" s="122" t="s">
        <v>591</v>
      </c>
      <c r="F1884" s="123">
        <f>0.16*F1883</f>
        <v>97.44</v>
      </c>
      <c r="G1884" s="184">
        <v>0.1</v>
      </c>
      <c r="H1884" s="125">
        <f t="shared" si="299"/>
        <v>107.18400000000001</v>
      </c>
      <c r="I1884" s="126" t="s">
        <v>15</v>
      </c>
      <c r="J1884" s="37">
        <f>$J$321</f>
        <v>0</v>
      </c>
      <c r="K1884" s="159">
        <f t="shared" si="300"/>
        <v>0</v>
      </c>
      <c r="L1884" s="160"/>
    </row>
    <row r="1885" spans="1:12" x14ac:dyDescent="0.2">
      <c r="A1885" s="129">
        <f ca="1">IF(F1885&lt;&gt;"",1+MAX($A$6:B1893),"")</f>
        <v>850</v>
      </c>
      <c r="B1885" s="126" t="s">
        <v>610</v>
      </c>
      <c r="C1885" s="208" t="s">
        <v>302</v>
      </c>
      <c r="D1885" s="120"/>
      <c r="E1885" s="122" t="s">
        <v>614</v>
      </c>
      <c r="F1885" s="123">
        <f>1.5*1.2*2*2*F1881/1.5</f>
        <v>2923.1999999999994</v>
      </c>
      <c r="G1885" s="184">
        <v>0.1</v>
      </c>
      <c r="H1885" s="125">
        <f t="shared" si="299"/>
        <v>3215.5199999999995</v>
      </c>
      <c r="I1885" s="126" t="s">
        <v>292</v>
      </c>
      <c r="J1885" s="37">
        <f>$J$15</f>
        <v>0</v>
      </c>
      <c r="K1885" s="159">
        <f t="shared" si="300"/>
        <v>0</v>
      </c>
      <c r="L1885" s="160"/>
    </row>
    <row r="1886" spans="1:12" x14ac:dyDescent="0.2">
      <c r="A1886" s="129" t="str">
        <f>IF(F1886&lt;&gt;"",1+MAX($A$6:B1894),"")</f>
        <v/>
      </c>
      <c r="B1886" s="126"/>
      <c r="C1886" s="120"/>
      <c r="D1886" s="187"/>
      <c r="E1886" s="172" t="s">
        <v>620</v>
      </c>
      <c r="F1886" s="123"/>
      <c r="G1886" s="184"/>
      <c r="H1886" s="125"/>
      <c r="I1886" s="126"/>
      <c r="J1886" s="37"/>
      <c r="K1886" s="159"/>
      <c r="L1886" s="160"/>
    </row>
    <row r="1887" spans="1:12" x14ac:dyDescent="0.2">
      <c r="A1887" s="129">
        <f ca="1">IF(F1887&lt;&gt;"",1+MAX($A$6:B1895),"")</f>
        <v>851</v>
      </c>
      <c r="B1887" s="126" t="s">
        <v>610</v>
      </c>
      <c r="C1887" s="120" t="s">
        <v>459</v>
      </c>
      <c r="D1887" s="186">
        <f>H1887/27</f>
        <v>628.95555555555563</v>
      </c>
      <c r="E1887" s="122" t="s">
        <v>621</v>
      </c>
      <c r="F1887" s="123">
        <v>15438</v>
      </c>
      <c r="G1887" s="184">
        <v>0.1</v>
      </c>
      <c r="H1887" s="125">
        <f>F1887*(1+G1887)</f>
        <v>16981.800000000003</v>
      </c>
      <c r="I1887" s="126" t="s">
        <v>18</v>
      </c>
      <c r="J1887" s="37">
        <v>0</v>
      </c>
      <c r="K1887" s="159">
        <f>J1887*H1887</f>
        <v>0</v>
      </c>
      <c r="L1887" s="160"/>
    </row>
    <row r="1888" spans="1:12" x14ac:dyDescent="0.2">
      <c r="A1888" s="129">
        <f ca="1">IF(F1888&lt;&gt;"",1+MAX($A$6:B1896),"")</f>
        <v>852</v>
      </c>
      <c r="B1888" s="126" t="s">
        <v>610</v>
      </c>
      <c r="C1888" s="120" t="s">
        <v>459</v>
      </c>
      <c r="D1888" s="120"/>
      <c r="E1888" s="122" t="s">
        <v>622</v>
      </c>
      <c r="F1888" s="123">
        <v>517</v>
      </c>
      <c r="G1888" s="184">
        <v>0.1</v>
      </c>
      <c r="H1888" s="125">
        <f t="shared" ref="H1888:H1925" si="301">F1888*(1+G1888)</f>
        <v>568.70000000000005</v>
      </c>
      <c r="I1888" s="126" t="s">
        <v>15</v>
      </c>
      <c r="J1888" s="37">
        <f>$J$347</f>
        <v>0</v>
      </c>
      <c r="K1888" s="159">
        <f t="shared" ref="K1888:K1925" si="302">J1888*H1888</f>
        <v>0</v>
      </c>
      <c r="L1888" s="160"/>
    </row>
    <row r="1889" spans="1:12" x14ac:dyDescent="0.2">
      <c r="A1889" s="129">
        <f ca="1">IF(F1889&lt;&gt;"",1+MAX($A$6:B1897),"")</f>
        <v>853</v>
      </c>
      <c r="B1889" s="126" t="s">
        <v>610</v>
      </c>
      <c r="C1889" s="120" t="s">
        <v>459</v>
      </c>
      <c r="D1889" s="120"/>
      <c r="E1889" s="122" t="s">
        <v>613</v>
      </c>
      <c r="F1889" s="123">
        <f>15438</f>
        <v>15438</v>
      </c>
      <c r="G1889" s="184">
        <v>0.1</v>
      </c>
      <c r="H1889" s="125">
        <f t="shared" si="301"/>
        <v>16981.800000000003</v>
      </c>
      <c r="I1889" s="126" t="s">
        <v>18</v>
      </c>
      <c r="J1889" s="37">
        <f>$J$348</f>
        <v>0</v>
      </c>
      <c r="K1889" s="159">
        <f t="shared" si="302"/>
        <v>0</v>
      </c>
      <c r="L1889" s="160"/>
    </row>
    <row r="1890" spans="1:12" x14ac:dyDescent="0.2">
      <c r="A1890" s="129">
        <f ca="1">IF(F1890&lt;&gt;"",1+MAX($A$6:B1898),"")</f>
        <v>854</v>
      </c>
      <c r="B1890" s="126" t="s">
        <v>610</v>
      </c>
      <c r="C1890" s="120" t="s">
        <v>459</v>
      </c>
      <c r="D1890" s="120"/>
      <c r="E1890" s="122" t="s">
        <v>591</v>
      </c>
      <c r="F1890" s="123">
        <f>0.16*F1889</f>
        <v>2470.08</v>
      </c>
      <c r="G1890" s="184">
        <v>0.1</v>
      </c>
      <c r="H1890" s="125">
        <f t="shared" si="301"/>
        <v>2717.0880000000002</v>
      </c>
      <c r="I1890" s="126" t="s">
        <v>15</v>
      </c>
      <c r="J1890" s="37">
        <f>$J$321</f>
        <v>0</v>
      </c>
      <c r="K1890" s="159">
        <f t="shared" si="302"/>
        <v>0</v>
      </c>
      <c r="L1890" s="160"/>
    </row>
    <row r="1891" spans="1:12" x14ac:dyDescent="0.2">
      <c r="A1891" s="129">
        <f ca="1">IF(F1891&lt;&gt;"",1+MAX($A$6:B1899),"")</f>
        <v>855</v>
      </c>
      <c r="B1891" s="126" t="s">
        <v>610</v>
      </c>
      <c r="C1891" s="120" t="s">
        <v>459</v>
      </c>
      <c r="D1891" s="120"/>
      <c r="E1891" s="122" t="s">
        <v>614</v>
      </c>
      <c r="F1891" s="123">
        <f>1.5*1.2*2*2*F1887/1.5</f>
        <v>74102.399999999994</v>
      </c>
      <c r="G1891" s="184">
        <v>0.1</v>
      </c>
      <c r="H1891" s="125">
        <f t="shared" si="301"/>
        <v>81512.639999999999</v>
      </c>
      <c r="I1891" s="126" t="s">
        <v>292</v>
      </c>
      <c r="J1891" s="37">
        <f t="shared" ref="J1891:J1892" si="303">$J$15</f>
        <v>0</v>
      </c>
      <c r="K1891" s="159">
        <f t="shared" si="302"/>
        <v>0</v>
      </c>
      <c r="L1891" s="160"/>
    </row>
    <row r="1892" spans="1:12" x14ac:dyDescent="0.2">
      <c r="A1892" s="129">
        <f ca="1">IF(F1892&lt;&gt;"",1+MAX($A$6:B1900),"")</f>
        <v>856</v>
      </c>
      <c r="B1892" s="126" t="s">
        <v>610</v>
      </c>
      <c r="C1892" s="120" t="s">
        <v>623</v>
      </c>
      <c r="D1892" s="120"/>
      <c r="E1892" s="122" t="s">
        <v>624</v>
      </c>
      <c r="F1892" s="123">
        <f>68/1.5*1.5*0.376*1.2</f>
        <v>30.6816</v>
      </c>
      <c r="G1892" s="184">
        <v>0.1</v>
      </c>
      <c r="H1892" s="125">
        <f t="shared" si="301"/>
        <v>33.749760000000002</v>
      </c>
      <c r="I1892" s="126" t="s">
        <v>292</v>
      </c>
      <c r="J1892" s="37">
        <f t="shared" si="303"/>
        <v>0</v>
      </c>
      <c r="K1892" s="159">
        <f t="shared" si="302"/>
        <v>0</v>
      </c>
      <c r="L1892" s="160"/>
    </row>
    <row r="1893" spans="1:12" x14ac:dyDescent="0.2">
      <c r="A1893" s="129" t="str">
        <f>IF(F1893&lt;&gt;"",1+MAX($A$6:B1901),"")</f>
        <v/>
      </c>
      <c r="B1893" s="126"/>
      <c r="C1893" s="120"/>
      <c r="D1893" s="120"/>
      <c r="E1893" s="122"/>
      <c r="F1893" s="123"/>
      <c r="G1893" s="184"/>
      <c r="H1893" s="125"/>
      <c r="I1893" s="126"/>
      <c r="J1893" s="37"/>
      <c r="K1893" s="159"/>
      <c r="L1893" s="160"/>
    </row>
    <row r="1894" spans="1:12" x14ac:dyDescent="0.2">
      <c r="A1894" s="129" t="str">
        <f>IF(F1894&lt;&gt;"",1+MAX($A$6:B1902),"")</f>
        <v/>
      </c>
      <c r="B1894" s="126"/>
      <c r="C1894" s="120"/>
      <c r="D1894" s="120"/>
      <c r="E1894" s="172" t="s">
        <v>625</v>
      </c>
      <c r="F1894" s="123"/>
      <c r="G1894" s="184"/>
      <c r="H1894" s="125"/>
      <c r="I1894" s="126"/>
      <c r="J1894" s="23"/>
      <c r="K1894" s="207"/>
      <c r="L1894" s="160"/>
    </row>
    <row r="1895" spans="1:12" ht="31.5" x14ac:dyDescent="0.2">
      <c r="A1895" s="129">
        <f ca="1">IF(F1895&lt;&gt;"",1+MAX($A$6:B1903),"")</f>
        <v>857</v>
      </c>
      <c r="B1895" s="126" t="s">
        <v>626</v>
      </c>
      <c r="C1895" s="120" t="s">
        <v>459</v>
      </c>
      <c r="D1895" s="120"/>
      <c r="E1895" s="122" t="s">
        <v>627</v>
      </c>
      <c r="F1895" s="123">
        <v>27610</v>
      </c>
      <c r="G1895" s="184">
        <v>0.1</v>
      </c>
      <c r="H1895" s="125">
        <f t="shared" ref="H1895:H1898" si="304">F1895*(1+G1895)</f>
        <v>30371.000000000004</v>
      </c>
      <c r="I1895" s="126" t="s">
        <v>292</v>
      </c>
      <c r="J1895" s="37">
        <f t="shared" ref="J1895:J1898" si="305">$J$15</f>
        <v>0</v>
      </c>
      <c r="K1895" s="159">
        <f t="shared" ref="K1895:K1898" si="306">J1895*H1895</f>
        <v>0</v>
      </c>
      <c r="L1895" s="160"/>
    </row>
    <row r="1896" spans="1:12" x14ac:dyDescent="0.2">
      <c r="A1896" s="129">
        <f ca="1">IF(F1896&lt;&gt;"",1+MAX($A$6:B1904),"")</f>
        <v>858</v>
      </c>
      <c r="B1896" s="126" t="str">
        <f>B1895</f>
        <v>S3.1-2</v>
      </c>
      <c r="C1896" s="120" t="s">
        <v>628</v>
      </c>
      <c r="D1896" s="120"/>
      <c r="E1896" s="122" t="s">
        <v>629</v>
      </c>
      <c r="F1896" s="123">
        <f>715*2*1.5*1.2*2</f>
        <v>5148</v>
      </c>
      <c r="G1896" s="184">
        <v>0.1</v>
      </c>
      <c r="H1896" s="125">
        <f t="shared" si="304"/>
        <v>5662.8</v>
      </c>
      <c r="I1896" s="126" t="s">
        <v>292</v>
      </c>
      <c r="J1896" s="37">
        <f t="shared" si="305"/>
        <v>0</v>
      </c>
      <c r="K1896" s="159">
        <f t="shared" si="306"/>
        <v>0</v>
      </c>
      <c r="L1896" s="160"/>
    </row>
    <row r="1897" spans="1:12" x14ac:dyDescent="0.2">
      <c r="A1897" s="129">
        <f ca="1">IF(F1897&lt;&gt;"",1+MAX($A$6:B1905),"")</f>
        <v>859</v>
      </c>
      <c r="B1897" s="126" t="str">
        <f>B1896</f>
        <v>S3.1-2</v>
      </c>
      <c r="C1897" s="120" t="s">
        <v>628</v>
      </c>
      <c r="D1897" s="120"/>
      <c r="E1897" s="122" t="s">
        <v>630</v>
      </c>
      <c r="F1897" s="123">
        <f>715/0.75*2.2*0.376*1.2</f>
        <v>946.31680000000006</v>
      </c>
      <c r="G1897" s="184">
        <v>0.1</v>
      </c>
      <c r="H1897" s="125">
        <f t="shared" si="304"/>
        <v>1040.9484800000002</v>
      </c>
      <c r="I1897" s="126" t="s">
        <v>292</v>
      </c>
      <c r="J1897" s="37">
        <f t="shared" si="305"/>
        <v>0</v>
      </c>
      <c r="K1897" s="159">
        <f t="shared" si="306"/>
        <v>0</v>
      </c>
      <c r="L1897" s="160"/>
    </row>
    <row r="1898" spans="1:12" x14ac:dyDescent="0.2">
      <c r="A1898" s="129">
        <f ca="1">IF(F1898&lt;&gt;"",1+MAX($A$6:B1906),"")</f>
        <v>860</v>
      </c>
      <c r="B1898" s="126" t="str">
        <f>B1897</f>
        <v>S3.1-2</v>
      </c>
      <c r="C1898" s="120" t="s">
        <v>631</v>
      </c>
      <c r="D1898" s="120"/>
      <c r="E1898" s="122" t="s">
        <v>632</v>
      </c>
      <c r="F1898" s="123">
        <f>612/1.33*3.5*0.668*1.2</f>
        <v>1290.997894736842</v>
      </c>
      <c r="G1898" s="184">
        <v>0.1</v>
      </c>
      <c r="H1898" s="125">
        <f t="shared" si="304"/>
        <v>1420.0976842105263</v>
      </c>
      <c r="I1898" s="126" t="s">
        <v>292</v>
      </c>
      <c r="J1898" s="37">
        <f t="shared" si="305"/>
        <v>0</v>
      </c>
      <c r="K1898" s="159">
        <f t="shared" si="306"/>
        <v>0</v>
      </c>
      <c r="L1898" s="160"/>
    </row>
    <row r="1899" spans="1:12" x14ac:dyDescent="0.2">
      <c r="A1899" s="129" t="str">
        <f>IF(F1899&lt;&gt;"",1+MAX($A$6:B1907),"")</f>
        <v/>
      </c>
      <c r="B1899" s="126"/>
      <c r="C1899" s="120"/>
      <c r="D1899" s="120"/>
      <c r="E1899" s="122"/>
      <c r="F1899" s="123"/>
      <c r="G1899" s="184"/>
      <c r="H1899" s="125"/>
      <c r="I1899" s="126"/>
      <c r="J1899" s="37"/>
      <c r="K1899" s="159"/>
      <c r="L1899" s="160"/>
    </row>
    <row r="1900" spans="1:12" x14ac:dyDescent="0.2">
      <c r="A1900" s="129" t="str">
        <f>IF(F1900&lt;&gt;"",1+MAX($A$6:B1908),"")</f>
        <v/>
      </c>
      <c r="B1900" s="126"/>
      <c r="C1900" s="120"/>
      <c r="D1900" s="120"/>
      <c r="E1900" s="172" t="s">
        <v>633</v>
      </c>
      <c r="F1900" s="123"/>
      <c r="G1900" s="184"/>
      <c r="H1900" s="125"/>
      <c r="I1900" s="126"/>
      <c r="J1900" s="23"/>
      <c r="K1900" s="207"/>
      <c r="L1900" s="160"/>
    </row>
    <row r="1901" spans="1:12" x14ac:dyDescent="0.2">
      <c r="A1901" s="129">
        <f ca="1">IF(F1901&lt;&gt;"",1+MAX($A$6:B1909),"")</f>
        <v>861</v>
      </c>
      <c r="B1901" s="126" t="s">
        <v>610</v>
      </c>
      <c r="C1901" s="120" t="s">
        <v>634</v>
      </c>
      <c r="D1901" s="120"/>
      <c r="E1901" s="122" t="s">
        <v>460</v>
      </c>
      <c r="F1901" s="123">
        <f>1878*0.83/27+95*1/27</f>
        <v>61.249629629629631</v>
      </c>
      <c r="G1901" s="184">
        <v>0.1</v>
      </c>
      <c r="H1901" s="125">
        <f>F1901*(1+G1901)</f>
        <v>67.374592592592606</v>
      </c>
      <c r="I1901" s="126" t="s">
        <v>461</v>
      </c>
      <c r="J1901" s="37">
        <f>$J$11</f>
        <v>0</v>
      </c>
      <c r="K1901" s="159">
        <f>J1901*H1901</f>
        <v>0</v>
      </c>
      <c r="L1901" s="160"/>
    </row>
    <row r="1902" spans="1:12" x14ac:dyDescent="0.2">
      <c r="A1902" s="129">
        <f ca="1">IF(F1902&lt;&gt;"",1+MAX($A$6:B1910),"")</f>
        <v>862</v>
      </c>
      <c r="B1902" s="126" t="s">
        <v>610</v>
      </c>
      <c r="C1902" s="120" t="s">
        <v>634</v>
      </c>
      <c r="D1902" s="120"/>
      <c r="E1902" s="122" t="s">
        <v>635</v>
      </c>
      <c r="F1902" s="123">
        <f>813*0.83+40</f>
        <v>714.79</v>
      </c>
      <c r="G1902" s="184">
        <v>0.1</v>
      </c>
      <c r="H1902" s="125">
        <f t="shared" ref="H1902:H1903" si="307">F1902*(1+G1902)</f>
        <v>786.26900000000001</v>
      </c>
      <c r="I1902" s="126" t="s">
        <v>463</v>
      </c>
      <c r="J1902" s="37">
        <f>K$340</f>
        <v>0</v>
      </c>
      <c r="K1902" s="159">
        <f t="shared" ref="K1902:K1903" si="308">J1902*H1902</f>
        <v>0</v>
      </c>
      <c r="L1902" s="160"/>
    </row>
    <row r="1903" spans="1:12" x14ac:dyDescent="0.2">
      <c r="A1903" s="129">
        <f ca="1">IF(F1903&lt;&gt;"",1+MAX($A$6:B1911),"")</f>
        <v>863</v>
      </c>
      <c r="B1903" s="126" t="s">
        <v>610</v>
      </c>
      <c r="C1903" s="120" t="s">
        <v>634</v>
      </c>
      <c r="D1903" s="120"/>
      <c r="E1903" s="122" t="s">
        <v>636</v>
      </c>
      <c r="F1903" s="123">
        <f>1.043*1.2*2*1.13*(1878+95)</f>
        <v>5580.8593679999985</v>
      </c>
      <c r="G1903" s="184">
        <v>0.1</v>
      </c>
      <c r="H1903" s="125">
        <f t="shared" si="307"/>
        <v>6138.9453047999987</v>
      </c>
      <c r="I1903" s="126" t="s">
        <v>292</v>
      </c>
      <c r="J1903" s="37">
        <f>$J$15</f>
        <v>0</v>
      </c>
      <c r="K1903" s="159">
        <f t="shared" si="308"/>
        <v>0</v>
      </c>
      <c r="L1903" s="160"/>
    </row>
    <row r="1904" spans="1:12" x14ac:dyDescent="0.2">
      <c r="A1904" s="129" t="str">
        <f>IF(F1904&lt;&gt;"",1+MAX($A$6:B1912),"")</f>
        <v/>
      </c>
      <c r="B1904" s="126"/>
      <c r="C1904" s="120"/>
      <c r="D1904" s="120"/>
      <c r="E1904" s="122"/>
      <c r="F1904" s="123"/>
      <c r="G1904" s="184"/>
      <c r="H1904" s="125"/>
      <c r="I1904" s="126"/>
      <c r="J1904" s="37"/>
      <c r="K1904" s="159"/>
      <c r="L1904" s="160"/>
    </row>
    <row r="1905" spans="1:12" x14ac:dyDescent="0.2">
      <c r="A1905" s="129" t="str">
        <f>IF(F1905&lt;&gt;"",1+MAX($A$6:B1913),"")</f>
        <v/>
      </c>
      <c r="B1905" s="126"/>
      <c r="C1905" s="120"/>
      <c r="D1905" s="120"/>
      <c r="E1905" s="172" t="s">
        <v>637</v>
      </c>
      <c r="F1905" s="123"/>
      <c r="G1905" s="184"/>
      <c r="H1905" s="125"/>
      <c r="I1905" s="126"/>
      <c r="J1905" s="23"/>
      <c r="K1905" s="207"/>
      <c r="L1905" s="160"/>
    </row>
    <row r="1906" spans="1:12" ht="63" x14ac:dyDescent="0.2">
      <c r="A1906" s="129" t="str">
        <f>IF(F1906&lt;&gt;"",1+MAX($A$6:B1914),"")</f>
        <v/>
      </c>
      <c r="B1906" s="126"/>
      <c r="C1906" s="120"/>
      <c r="D1906" s="120"/>
      <c r="E1906" s="172" t="s">
        <v>638</v>
      </c>
      <c r="F1906" s="123"/>
      <c r="G1906" s="184"/>
      <c r="H1906" s="125"/>
      <c r="I1906" s="126"/>
      <c r="J1906" s="37"/>
      <c r="K1906" s="159"/>
      <c r="L1906" s="160"/>
    </row>
    <row r="1907" spans="1:12" x14ac:dyDescent="0.2">
      <c r="A1907" s="129">
        <f ca="1">IF(F1907&lt;&gt;"",1+MAX($A$6:B1915),"")</f>
        <v>864</v>
      </c>
      <c r="B1907" s="126" t="s">
        <v>610</v>
      </c>
      <c r="C1907" s="120" t="s">
        <v>519</v>
      </c>
      <c r="D1907" s="120"/>
      <c r="E1907" s="122" t="s">
        <v>460</v>
      </c>
      <c r="F1907" s="209">
        <f>15*0.83*1/27</f>
        <v>0.46111111111111108</v>
      </c>
      <c r="G1907" s="184">
        <v>0.1</v>
      </c>
      <c r="H1907" s="188">
        <f>F1907*(1+G1907)</f>
        <v>0.50722222222222224</v>
      </c>
      <c r="I1907" s="126" t="s">
        <v>461</v>
      </c>
      <c r="J1907" s="37">
        <f>$J$11</f>
        <v>0</v>
      </c>
      <c r="K1907" s="159">
        <f>J1907*H1907</f>
        <v>0</v>
      </c>
      <c r="L1907" s="160"/>
    </row>
    <row r="1908" spans="1:12" x14ac:dyDescent="0.2">
      <c r="A1908" s="129">
        <f ca="1">IF(F1908&lt;&gt;"",1+MAX($A$6:B1916),"")</f>
        <v>865</v>
      </c>
      <c r="B1908" s="126" t="s">
        <v>610</v>
      </c>
      <c r="C1908" s="120" t="s">
        <v>519</v>
      </c>
      <c r="D1908" s="120"/>
      <c r="E1908" s="122" t="s">
        <v>639</v>
      </c>
      <c r="F1908" s="123">
        <f>15*1.25*2</f>
        <v>37.5</v>
      </c>
      <c r="G1908" s="184">
        <v>0.1</v>
      </c>
      <c r="H1908" s="125">
        <f>F1908*(1+G1908)</f>
        <v>41.25</v>
      </c>
      <c r="I1908" s="126" t="s">
        <v>463</v>
      </c>
      <c r="J1908" s="37">
        <v>0</v>
      </c>
      <c r="K1908" s="159">
        <f>J1908*H1908</f>
        <v>0</v>
      </c>
      <c r="L1908" s="160"/>
    </row>
    <row r="1909" spans="1:12" x14ac:dyDescent="0.2">
      <c r="A1909" s="129">
        <f ca="1">IF(F1909&lt;&gt;"",1+MAX($A$6:B1917),"")</f>
        <v>866</v>
      </c>
      <c r="B1909" s="126" t="s">
        <v>610</v>
      </c>
      <c r="C1909" s="120" t="s">
        <v>519</v>
      </c>
      <c r="D1909" s="120"/>
      <c r="E1909" s="122" t="s">
        <v>640</v>
      </c>
      <c r="F1909" s="123">
        <f>6*15*1.5*1.2</f>
        <v>162</v>
      </c>
      <c r="G1909" s="184">
        <v>0.1</v>
      </c>
      <c r="H1909" s="125">
        <f>F1909*(1+G1909)</f>
        <v>178.20000000000002</v>
      </c>
      <c r="I1909" s="126" t="s">
        <v>292</v>
      </c>
      <c r="J1909" s="37">
        <f t="shared" ref="J1909:J1910" si="309">$J$15</f>
        <v>0</v>
      </c>
      <c r="K1909" s="159">
        <f>J1909*H1909</f>
        <v>0</v>
      </c>
      <c r="L1909" s="160"/>
    </row>
    <row r="1910" spans="1:12" x14ac:dyDescent="0.2">
      <c r="A1910" s="129">
        <f ca="1">IF(F1910&lt;&gt;"",1+MAX($A$6:B1918),"")</f>
        <v>867</v>
      </c>
      <c r="B1910" s="126" t="s">
        <v>610</v>
      </c>
      <c r="C1910" s="120" t="s">
        <v>519</v>
      </c>
      <c r="D1910" s="120"/>
      <c r="E1910" s="122" t="s">
        <v>641</v>
      </c>
      <c r="F1910" s="123">
        <f>(15/0.42+1)*(2*0.83+2*1+0.5)*0.376*1.2</f>
        <v>68.912420571428569</v>
      </c>
      <c r="G1910" s="184">
        <v>0.1</v>
      </c>
      <c r="H1910" s="125">
        <f>F1910*(1+G1910)</f>
        <v>75.803662628571431</v>
      </c>
      <c r="I1910" s="126" t="s">
        <v>292</v>
      </c>
      <c r="J1910" s="37">
        <f t="shared" si="309"/>
        <v>0</v>
      </c>
      <c r="K1910" s="159">
        <f>J1910*H1910</f>
        <v>0</v>
      </c>
      <c r="L1910" s="160"/>
    </row>
    <row r="1911" spans="1:12" ht="63" x14ac:dyDescent="0.2">
      <c r="A1911" s="129" t="str">
        <f>IF(F1911&lt;&gt;"",1+MAX($A$6:B1919),"")</f>
        <v/>
      </c>
      <c r="B1911" s="126"/>
      <c r="C1911" s="120"/>
      <c r="D1911" s="120"/>
      <c r="E1911" s="172" t="s">
        <v>642</v>
      </c>
      <c r="F1911" s="123"/>
      <c r="G1911" s="184"/>
      <c r="H1911" s="125"/>
      <c r="I1911" s="126"/>
      <c r="J1911" s="37"/>
      <c r="K1911" s="159"/>
      <c r="L1911" s="160"/>
    </row>
    <row r="1912" spans="1:12" x14ac:dyDescent="0.2">
      <c r="A1912" s="129">
        <f ca="1">IF(F1912&lt;&gt;"",1+MAX($A$6:B1920),"")</f>
        <v>868</v>
      </c>
      <c r="B1912" s="126" t="s">
        <v>610</v>
      </c>
      <c r="C1912" s="120" t="s">
        <v>519</v>
      </c>
      <c r="D1912" s="120"/>
      <c r="E1912" s="122" t="s">
        <v>460</v>
      </c>
      <c r="F1912" s="123">
        <f>31*3*2.5/27</f>
        <v>8.6111111111111107</v>
      </c>
      <c r="G1912" s="184">
        <v>0.1</v>
      </c>
      <c r="H1912" s="125">
        <f>F1912*(1+G1912)</f>
        <v>9.4722222222222232</v>
      </c>
      <c r="I1912" s="126" t="s">
        <v>461</v>
      </c>
      <c r="J1912" s="37">
        <f>$J$11</f>
        <v>0</v>
      </c>
      <c r="K1912" s="159">
        <f>J1912*H1912</f>
        <v>0</v>
      </c>
      <c r="L1912" s="160"/>
    </row>
    <row r="1913" spans="1:12" x14ac:dyDescent="0.2">
      <c r="A1913" s="129">
        <f ca="1">IF(F1913&lt;&gt;"",1+MAX($A$6:B1921),"")</f>
        <v>869</v>
      </c>
      <c r="B1913" s="126" t="s">
        <v>610</v>
      </c>
      <c r="C1913" s="120" t="s">
        <v>519</v>
      </c>
      <c r="D1913" s="120"/>
      <c r="E1913" s="122" t="s">
        <v>639</v>
      </c>
      <c r="F1913" s="123">
        <f>31*2.5*2</f>
        <v>155</v>
      </c>
      <c r="G1913" s="184">
        <v>0.1</v>
      </c>
      <c r="H1913" s="125">
        <f>F1913*(1+G1913)</f>
        <v>170.5</v>
      </c>
      <c r="I1913" s="126" t="s">
        <v>463</v>
      </c>
      <c r="J1913" s="37">
        <f>K$385</f>
        <v>0</v>
      </c>
      <c r="K1913" s="159">
        <f>J1913*H1913</f>
        <v>0</v>
      </c>
      <c r="L1913" s="160"/>
    </row>
    <row r="1914" spans="1:12" x14ac:dyDescent="0.2">
      <c r="A1914" s="129">
        <f ca="1">IF(F1914&lt;&gt;"",1+MAX($A$6:B1922),"")</f>
        <v>870</v>
      </c>
      <c r="B1914" s="126" t="s">
        <v>610</v>
      </c>
      <c r="C1914" s="120" t="s">
        <v>519</v>
      </c>
      <c r="D1914" s="120"/>
      <c r="E1914" s="122" t="s">
        <v>643</v>
      </c>
      <c r="F1914" s="123">
        <f>4*31*2.67*1.2+4*24*2.67*1.2</f>
        <v>704.88</v>
      </c>
      <c r="G1914" s="184">
        <v>0.1</v>
      </c>
      <c r="H1914" s="125">
        <f>F1914*(1+G1914)</f>
        <v>775.36800000000005</v>
      </c>
      <c r="I1914" s="126" t="s">
        <v>292</v>
      </c>
      <c r="J1914" s="37">
        <f t="shared" ref="J1914:J1916" si="310">$J$15</f>
        <v>0</v>
      </c>
      <c r="K1914" s="159">
        <f>J1914*H1914</f>
        <v>0</v>
      </c>
      <c r="L1914" s="160"/>
    </row>
    <row r="1915" spans="1:12" x14ac:dyDescent="0.2">
      <c r="A1915" s="129">
        <f ca="1">IF(F1915&lt;&gt;"",1+MAX($A$6:B1923),"")</f>
        <v>871</v>
      </c>
      <c r="B1915" s="126" t="s">
        <v>610</v>
      </c>
      <c r="C1915" s="120" t="s">
        <v>519</v>
      </c>
      <c r="D1915" s="120"/>
      <c r="E1915" s="122" t="s">
        <v>644</v>
      </c>
      <c r="F1915" s="123">
        <f>7*31*3.4*1.2</f>
        <v>885.3599999999999</v>
      </c>
      <c r="G1915" s="184">
        <v>0.1</v>
      </c>
      <c r="H1915" s="125">
        <f>F1915*(1+G1915)</f>
        <v>973.89599999999996</v>
      </c>
      <c r="I1915" s="126" t="s">
        <v>292</v>
      </c>
      <c r="J1915" s="37">
        <f t="shared" si="310"/>
        <v>0</v>
      </c>
      <c r="K1915" s="159">
        <f>J1915*H1915</f>
        <v>0</v>
      </c>
      <c r="L1915" s="160"/>
    </row>
    <row r="1916" spans="1:12" x14ac:dyDescent="0.2">
      <c r="A1916" s="129">
        <f ca="1">IF(F1916&lt;&gt;"",1+MAX($A$6:B1924),"")</f>
        <v>872</v>
      </c>
      <c r="B1916" s="126" t="s">
        <v>610</v>
      </c>
      <c r="C1916" s="120" t="s">
        <v>519</v>
      </c>
      <c r="D1916" s="120"/>
      <c r="E1916" s="122" t="s">
        <v>645</v>
      </c>
      <c r="F1916" s="123">
        <f>(31/0.75+1)*(2*3+4*2.5+0.5)*0.668*1.2</f>
        <v>559.91759999999999</v>
      </c>
      <c r="G1916" s="184">
        <v>0.1</v>
      </c>
      <c r="H1916" s="125">
        <f>F1916*(1+G1916)</f>
        <v>615.90935999999999</v>
      </c>
      <c r="I1916" s="126" t="s">
        <v>292</v>
      </c>
      <c r="J1916" s="37">
        <f t="shared" si="310"/>
        <v>0</v>
      </c>
      <c r="K1916" s="159">
        <f>J1916*H1916</f>
        <v>0</v>
      </c>
      <c r="L1916" s="160"/>
    </row>
    <row r="1917" spans="1:12" ht="63" x14ac:dyDescent="0.2">
      <c r="A1917" s="129" t="str">
        <f>IF(F1917&lt;&gt;"",1+MAX($A$6:B1925),"")</f>
        <v/>
      </c>
      <c r="B1917" s="126"/>
      <c r="C1917" s="120"/>
      <c r="D1917" s="120"/>
      <c r="E1917" s="172" t="s">
        <v>646</v>
      </c>
      <c r="F1917" s="123"/>
      <c r="G1917" s="184"/>
      <c r="H1917" s="125"/>
      <c r="I1917" s="126"/>
      <c r="J1917" s="37"/>
      <c r="K1917" s="159"/>
      <c r="L1917" s="160"/>
    </row>
    <row r="1918" spans="1:12" x14ac:dyDescent="0.2">
      <c r="A1918" s="129">
        <f ca="1">IF(F1918&lt;&gt;"",1+MAX($A$6:B1926),"")</f>
        <v>873</v>
      </c>
      <c r="B1918" s="126" t="s">
        <v>610</v>
      </c>
      <c r="C1918" s="120" t="s">
        <v>519</v>
      </c>
      <c r="D1918" s="120"/>
      <c r="E1918" s="122" t="s">
        <v>460</v>
      </c>
      <c r="F1918" s="209">
        <f>5*0.67*3.5/27</f>
        <v>0.43425925925925923</v>
      </c>
      <c r="G1918" s="184">
        <v>0.1</v>
      </c>
      <c r="H1918" s="188">
        <f>F1918*(1+G1918)</f>
        <v>0.47768518518518521</v>
      </c>
      <c r="I1918" s="126" t="s">
        <v>461</v>
      </c>
      <c r="J1918" s="37">
        <f>$J$11</f>
        <v>0</v>
      </c>
      <c r="K1918" s="159">
        <f>J1918*H1918</f>
        <v>0</v>
      </c>
      <c r="L1918" s="160"/>
    </row>
    <row r="1919" spans="1:12" x14ac:dyDescent="0.2">
      <c r="A1919" s="129">
        <f ca="1">IF(F1919&lt;&gt;"",1+MAX($A$6:B1927),"")</f>
        <v>874</v>
      </c>
      <c r="B1919" s="126" t="s">
        <v>610</v>
      </c>
      <c r="C1919" s="120" t="s">
        <v>519</v>
      </c>
      <c r="D1919" s="120"/>
      <c r="E1919" s="122" t="s">
        <v>639</v>
      </c>
      <c r="F1919" s="123">
        <f>5*3.5*2</f>
        <v>35</v>
      </c>
      <c r="G1919" s="184">
        <v>0.1</v>
      </c>
      <c r="H1919" s="125">
        <f>F1919*(1+G1919)</f>
        <v>38.5</v>
      </c>
      <c r="I1919" s="126" t="s">
        <v>463</v>
      </c>
      <c r="J1919" s="37">
        <f>K$385</f>
        <v>0</v>
      </c>
      <c r="K1919" s="159">
        <f>J1919*H1919</f>
        <v>0</v>
      </c>
      <c r="L1919" s="160"/>
    </row>
    <row r="1920" spans="1:12" x14ac:dyDescent="0.2">
      <c r="A1920" s="129">
        <f ca="1">IF(F1920&lt;&gt;"",1+MAX($A$6:B1928),"")</f>
        <v>875</v>
      </c>
      <c r="B1920" s="126" t="s">
        <v>610</v>
      </c>
      <c r="C1920" s="120" t="s">
        <v>519</v>
      </c>
      <c r="D1920" s="120"/>
      <c r="E1920" s="122" t="s">
        <v>647</v>
      </c>
      <c r="F1920" s="123">
        <f>4*5*3.4*1.2</f>
        <v>81.599999999999994</v>
      </c>
      <c r="G1920" s="184">
        <v>0.1</v>
      </c>
      <c r="H1920" s="125">
        <f>F1920*(1+G1920)</f>
        <v>89.76</v>
      </c>
      <c r="I1920" s="126" t="s">
        <v>292</v>
      </c>
      <c r="J1920" s="37">
        <f t="shared" ref="J1920:J1921" si="311">$J$15</f>
        <v>0</v>
      </c>
      <c r="K1920" s="159">
        <f>J1920*H1920</f>
        <v>0</v>
      </c>
      <c r="L1920" s="160"/>
    </row>
    <row r="1921" spans="1:12" x14ac:dyDescent="0.2">
      <c r="A1921" s="129">
        <f ca="1">IF(F1921&lt;&gt;"",1+MAX($A$6:B1929),"")</f>
        <v>876</v>
      </c>
      <c r="B1921" s="126" t="s">
        <v>610</v>
      </c>
      <c r="C1921" s="120" t="s">
        <v>519</v>
      </c>
      <c r="D1921" s="120"/>
      <c r="E1921" s="122" t="s">
        <v>648</v>
      </c>
      <c r="F1921" s="123">
        <f>(5/0.33+1)*(2*0.67+2*3.5+0.5)*0.668*1.2</f>
        <v>114.45196218181817</v>
      </c>
      <c r="G1921" s="184">
        <v>0.1</v>
      </c>
      <c r="H1921" s="125">
        <f>F1921*(1+G1921)</f>
        <v>125.89715840000001</v>
      </c>
      <c r="I1921" s="126" t="s">
        <v>292</v>
      </c>
      <c r="J1921" s="37">
        <f t="shared" si="311"/>
        <v>0</v>
      </c>
      <c r="K1921" s="159">
        <f>J1921*H1921</f>
        <v>0</v>
      </c>
      <c r="L1921" s="160"/>
    </row>
    <row r="1922" spans="1:12" x14ac:dyDescent="0.2">
      <c r="A1922" s="129" t="str">
        <f>IF(F1922&lt;&gt;"",1+MAX($A$6:B1930),"")</f>
        <v/>
      </c>
      <c r="B1922" s="126"/>
      <c r="C1922" s="120"/>
      <c r="D1922" s="120"/>
      <c r="E1922" s="122"/>
      <c r="F1922" s="123"/>
      <c r="G1922" s="184"/>
      <c r="H1922" s="125"/>
      <c r="I1922" s="126"/>
      <c r="J1922" s="37"/>
      <c r="K1922" s="159"/>
      <c r="L1922" s="160"/>
    </row>
    <row r="1923" spans="1:12" x14ac:dyDescent="0.2">
      <c r="A1923" s="129" t="str">
        <f>IF(F1923&lt;&gt;"",1+MAX($A$6:B1931),"")</f>
        <v/>
      </c>
      <c r="B1923" s="126"/>
      <c r="C1923" s="120"/>
      <c r="D1923" s="120"/>
      <c r="E1923" s="172" t="s">
        <v>649</v>
      </c>
      <c r="F1923" s="123"/>
      <c r="G1923" s="184"/>
      <c r="H1923" s="125"/>
      <c r="I1923" s="126"/>
      <c r="J1923" s="23"/>
      <c r="K1923" s="207"/>
      <c r="L1923" s="160"/>
    </row>
    <row r="1924" spans="1:12" x14ac:dyDescent="0.2">
      <c r="A1924" s="129">
        <f ca="1">IF(F1924&lt;&gt;"",1+MAX($A$6:B1932),"")</f>
        <v>877</v>
      </c>
      <c r="B1924" s="126" t="s">
        <v>610</v>
      </c>
      <c r="C1924" s="120" t="s">
        <v>489</v>
      </c>
      <c r="D1924" s="120"/>
      <c r="E1924" s="122" t="s">
        <v>460</v>
      </c>
      <c r="F1924" s="209">
        <f>13*0.33*0.5/27</f>
        <v>7.9444444444444443E-2</v>
      </c>
      <c r="G1924" s="184">
        <v>0.1</v>
      </c>
      <c r="H1924" s="185">
        <f t="shared" si="301"/>
        <v>8.7388888888888891E-2</v>
      </c>
      <c r="I1924" s="126" t="s">
        <v>461</v>
      </c>
      <c r="J1924" s="37">
        <f>$J$11</f>
        <v>0</v>
      </c>
      <c r="K1924" s="159">
        <f t="shared" si="302"/>
        <v>0</v>
      </c>
      <c r="L1924" s="160"/>
    </row>
    <row r="1925" spans="1:12" x14ac:dyDescent="0.2">
      <c r="A1925" s="129">
        <f ca="1">IF(F1925&lt;&gt;"",1+MAX($A$6:B1933),"")</f>
        <v>878</v>
      </c>
      <c r="B1925" s="126" t="s">
        <v>610</v>
      </c>
      <c r="C1925" s="120" t="s">
        <v>489</v>
      </c>
      <c r="D1925" s="120"/>
      <c r="E1925" s="122" t="s">
        <v>650</v>
      </c>
      <c r="F1925" s="123">
        <f>13*0.5</f>
        <v>6.5</v>
      </c>
      <c r="G1925" s="184">
        <v>0.1</v>
      </c>
      <c r="H1925" s="125">
        <f t="shared" si="301"/>
        <v>7.15</v>
      </c>
      <c r="I1925" s="126" t="s">
        <v>463</v>
      </c>
      <c r="J1925" s="37">
        <v>0</v>
      </c>
      <c r="K1925" s="159">
        <f t="shared" si="302"/>
        <v>0</v>
      </c>
      <c r="L1925" s="160"/>
    </row>
    <row r="1926" spans="1:12" x14ac:dyDescent="0.2">
      <c r="A1926" s="129" t="str">
        <f>IF(F1926&lt;&gt;"",1+MAX($A$6:B1934),"")</f>
        <v/>
      </c>
      <c r="B1926" s="126"/>
      <c r="C1926" s="120"/>
      <c r="D1926" s="120"/>
      <c r="E1926" s="122"/>
      <c r="F1926" s="123"/>
      <c r="G1926" s="184"/>
      <c r="H1926" s="125"/>
      <c r="I1926" s="126"/>
      <c r="J1926" s="37"/>
      <c r="K1926" s="159"/>
      <c r="L1926" s="160"/>
    </row>
    <row r="1927" spans="1:12" x14ac:dyDescent="0.2">
      <c r="A1927" s="129" t="str">
        <f>IF(F1927&lt;&gt;"",1+MAX($A$6:B1935),"")</f>
        <v/>
      </c>
      <c r="B1927" s="126"/>
      <c r="C1927" s="120"/>
      <c r="D1927" s="120"/>
      <c r="E1927" s="172" t="s">
        <v>651</v>
      </c>
      <c r="F1927" s="123"/>
      <c r="G1927" s="184"/>
      <c r="H1927" s="125"/>
      <c r="I1927" s="126"/>
      <c r="J1927" s="23"/>
      <c r="K1927" s="207"/>
      <c r="L1927" s="160"/>
    </row>
    <row r="1928" spans="1:12" x14ac:dyDescent="0.2">
      <c r="A1928" s="129">
        <f ca="1">IF(F1928&lt;&gt;"",1+MAX($A$6:B1936),"")</f>
        <v>879</v>
      </c>
      <c r="B1928" s="126" t="s">
        <v>610</v>
      </c>
      <c r="C1928" s="120" t="s">
        <v>459</v>
      </c>
      <c r="D1928" s="120"/>
      <c r="E1928" s="122" t="s">
        <v>652</v>
      </c>
      <c r="F1928" s="123">
        <v>945</v>
      </c>
      <c r="G1928" s="184">
        <v>0.1</v>
      </c>
      <c r="H1928" s="125">
        <f>F1928*(1+G1928)</f>
        <v>1039.5</v>
      </c>
      <c r="I1928" s="126" t="s">
        <v>15</v>
      </c>
      <c r="J1928" s="37">
        <v>0</v>
      </c>
      <c r="K1928" s="159">
        <f>J1928*H1928</f>
        <v>0</v>
      </c>
      <c r="L1928" s="160"/>
    </row>
    <row r="1929" spans="1:12" x14ac:dyDescent="0.2">
      <c r="A1929" s="129" t="str">
        <f>IF(F1929&lt;&gt;"",1+MAX($A$6:B1937),"")</f>
        <v/>
      </c>
      <c r="B1929" s="126"/>
      <c r="C1929" s="120"/>
      <c r="D1929" s="120"/>
      <c r="E1929" s="122"/>
      <c r="F1929" s="123"/>
      <c r="G1929" s="184"/>
      <c r="H1929" s="125"/>
      <c r="I1929" s="126"/>
      <c r="J1929" s="37"/>
      <c r="K1929" s="159"/>
      <c r="L1929" s="160"/>
    </row>
    <row r="1930" spans="1:12" x14ac:dyDescent="0.2">
      <c r="A1930" s="129" t="str">
        <f>IF(F1930&lt;&gt;"",1+MAX($A$6:B1938),"")</f>
        <v/>
      </c>
      <c r="B1930" s="126"/>
      <c r="C1930" s="120"/>
      <c r="D1930" s="120"/>
      <c r="E1930" s="172" t="s">
        <v>531</v>
      </c>
      <c r="F1930" s="123"/>
      <c r="G1930" s="184"/>
      <c r="H1930" s="125"/>
      <c r="I1930" s="126"/>
      <c r="J1930" s="23"/>
      <c r="K1930" s="207"/>
      <c r="L1930" s="160"/>
    </row>
    <row r="1931" spans="1:12" ht="63" x14ac:dyDescent="0.2">
      <c r="A1931" s="129" t="str">
        <f>IF(F1931&lt;&gt;"",1+MAX($A$6:B1939),"")</f>
        <v/>
      </c>
      <c r="B1931" s="126"/>
      <c r="C1931" s="120"/>
      <c r="D1931" s="183"/>
      <c r="E1931" s="172" t="s">
        <v>653</v>
      </c>
      <c r="F1931" s="123"/>
      <c r="G1931" s="124"/>
      <c r="H1931" s="125"/>
      <c r="I1931" s="126"/>
      <c r="J1931" s="37"/>
      <c r="K1931" s="159"/>
      <c r="L1931" s="160"/>
    </row>
    <row r="1932" spans="1:12" x14ac:dyDescent="0.2">
      <c r="A1932" s="129">
        <f ca="1">IF(F1932&lt;&gt;"",1+MAX($A$6:B1940),"")</f>
        <v>880</v>
      </c>
      <c r="B1932" s="126" t="s">
        <v>610</v>
      </c>
      <c r="C1932" s="120" t="s">
        <v>459</v>
      </c>
      <c r="D1932" s="120"/>
      <c r="E1932" s="122" t="s">
        <v>460</v>
      </c>
      <c r="F1932" s="123">
        <f>165*0.67*10/27</f>
        <v>40.944444444444443</v>
      </c>
      <c r="G1932" s="184">
        <v>0.1</v>
      </c>
      <c r="H1932" s="125">
        <f t="shared" ref="H1932:H1938" si="312">F1932*(1+G1932)</f>
        <v>45.038888888888891</v>
      </c>
      <c r="I1932" s="126" t="s">
        <v>461</v>
      </c>
      <c r="J1932" s="37">
        <f>$J$11</f>
        <v>0</v>
      </c>
      <c r="K1932" s="159">
        <f t="shared" ref="K1932:K1938" si="313">J1932*H1932</f>
        <v>0</v>
      </c>
      <c r="L1932" s="160"/>
    </row>
    <row r="1933" spans="1:12" x14ac:dyDescent="0.2">
      <c r="A1933" s="129">
        <f ca="1">IF(F1933&lt;&gt;"",1+MAX($A$6:B1941),"")</f>
        <v>881</v>
      </c>
      <c r="B1933" s="126" t="s">
        <v>610</v>
      </c>
      <c r="C1933" s="120" t="s">
        <v>459</v>
      </c>
      <c r="D1933" s="120"/>
      <c r="E1933" s="122" t="s">
        <v>544</v>
      </c>
      <c r="F1933" s="123">
        <f>165*10*2</f>
        <v>3300</v>
      </c>
      <c r="G1933" s="184">
        <v>0.1</v>
      </c>
      <c r="H1933" s="125">
        <f t="shared" si="312"/>
        <v>3630.0000000000005</v>
      </c>
      <c r="I1933" s="126" t="s">
        <v>463</v>
      </c>
      <c r="J1933" s="37">
        <f>K$209</f>
        <v>0</v>
      </c>
      <c r="K1933" s="159">
        <f t="shared" si="313"/>
        <v>0</v>
      </c>
      <c r="L1933" s="160"/>
    </row>
    <row r="1934" spans="1:12" x14ac:dyDescent="0.2">
      <c r="A1934" s="129">
        <f ca="1">IF(F1934&lt;&gt;"",1+MAX($A$6:B1942),"")</f>
        <v>882</v>
      </c>
      <c r="B1934" s="126" t="s">
        <v>610</v>
      </c>
      <c r="C1934" s="120" t="s">
        <v>459</v>
      </c>
      <c r="D1934" s="120"/>
      <c r="E1934" s="122" t="s">
        <v>564</v>
      </c>
      <c r="F1934" s="123">
        <f>(10/0.83+1)*165*0.668*1.2*2</f>
        <v>3451.6123373493974</v>
      </c>
      <c r="G1934" s="184">
        <v>0.1</v>
      </c>
      <c r="H1934" s="125">
        <f t="shared" si="312"/>
        <v>3796.7735710843376</v>
      </c>
      <c r="I1934" s="126" t="s">
        <v>292</v>
      </c>
      <c r="J1934" s="37">
        <f t="shared" ref="J1934:J1938" si="314">$J$15</f>
        <v>0</v>
      </c>
      <c r="K1934" s="159">
        <f t="shared" si="313"/>
        <v>0</v>
      </c>
      <c r="L1934" s="160"/>
    </row>
    <row r="1935" spans="1:12" x14ac:dyDescent="0.2">
      <c r="A1935" s="129">
        <f ca="1">IF(F1935&lt;&gt;"",1+MAX($A$6:B1943),"")</f>
        <v>883</v>
      </c>
      <c r="B1935" s="126" t="s">
        <v>610</v>
      </c>
      <c r="C1935" s="120" t="s">
        <v>459</v>
      </c>
      <c r="D1935" s="120"/>
      <c r="E1935" s="122" t="s">
        <v>565</v>
      </c>
      <c r="F1935" s="123">
        <f>(165/1.17+1)*10*1.043*1.2*2</f>
        <v>3555.1858461538454</v>
      </c>
      <c r="G1935" s="184">
        <v>0.1</v>
      </c>
      <c r="H1935" s="125">
        <f t="shared" si="312"/>
        <v>3910.7044307692304</v>
      </c>
      <c r="I1935" s="126" t="s">
        <v>292</v>
      </c>
      <c r="J1935" s="37">
        <f t="shared" si="314"/>
        <v>0</v>
      </c>
      <c r="K1935" s="159">
        <f t="shared" si="313"/>
        <v>0</v>
      </c>
      <c r="L1935" s="160"/>
    </row>
    <row r="1936" spans="1:12" x14ac:dyDescent="0.2">
      <c r="A1936" s="129">
        <f ca="1">IF(F1936&lt;&gt;"",1+MAX($A$6:B1944),"")</f>
        <v>884</v>
      </c>
      <c r="B1936" s="126" t="s">
        <v>610</v>
      </c>
      <c r="C1936" s="120" t="s">
        <v>459</v>
      </c>
      <c r="D1936" s="120"/>
      <c r="E1936" s="122" t="s">
        <v>654</v>
      </c>
      <c r="F1936" s="123">
        <f>2*10*1.043*1.2*2</f>
        <v>50.064</v>
      </c>
      <c r="G1936" s="184">
        <v>0.1</v>
      </c>
      <c r="H1936" s="125">
        <f t="shared" si="312"/>
        <v>55.070400000000006</v>
      </c>
      <c r="I1936" s="126" t="s">
        <v>292</v>
      </c>
      <c r="J1936" s="37">
        <f t="shared" si="314"/>
        <v>0</v>
      </c>
      <c r="K1936" s="159">
        <f t="shared" si="313"/>
        <v>0</v>
      </c>
      <c r="L1936" s="160"/>
    </row>
    <row r="1937" spans="1:12" x14ac:dyDescent="0.2">
      <c r="A1937" s="129">
        <f ca="1">IF(F1937&lt;&gt;"",1+MAX($A$6:B1945),"")</f>
        <v>885</v>
      </c>
      <c r="B1937" s="126" t="s">
        <v>610</v>
      </c>
      <c r="C1937" s="120" t="s">
        <v>459</v>
      </c>
      <c r="D1937" s="120"/>
      <c r="E1937" s="122" t="s">
        <v>655</v>
      </c>
      <c r="F1937" s="123">
        <f>(165/1+1)*7.5*1.043*1.2*2</f>
        <v>3116.4839999999995</v>
      </c>
      <c r="G1937" s="184">
        <v>0.1</v>
      </c>
      <c r="H1937" s="125">
        <f t="shared" si="312"/>
        <v>3428.1323999999995</v>
      </c>
      <c r="I1937" s="126" t="s">
        <v>292</v>
      </c>
      <c r="J1937" s="37">
        <f t="shared" si="314"/>
        <v>0</v>
      </c>
      <c r="K1937" s="159">
        <f t="shared" si="313"/>
        <v>0</v>
      </c>
      <c r="L1937" s="160"/>
    </row>
    <row r="1938" spans="1:12" x14ac:dyDescent="0.2">
      <c r="A1938" s="129">
        <f ca="1">IF(F1938&lt;&gt;"",1+MAX($A$6:B1946),"")</f>
        <v>886</v>
      </c>
      <c r="B1938" s="126" t="s">
        <v>610</v>
      </c>
      <c r="C1938" s="120" t="s">
        <v>459</v>
      </c>
      <c r="D1938" s="120"/>
      <c r="E1938" s="122" t="s">
        <v>656</v>
      </c>
      <c r="F1938" s="123">
        <f>165/1.33*3.83*1.043*1.2</f>
        <v>594.69821052631573</v>
      </c>
      <c r="G1938" s="184">
        <v>0.1</v>
      </c>
      <c r="H1938" s="125">
        <f t="shared" si="312"/>
        <v>654.16803157894731</v>
      </c>
      <c r="I1938" s="126" t="s">
        <v>292</v>
      </c>
      <c r="J1938" s="37">
        <f t="shared" si="314"/>
        <v>0</v>
      </c>
      <c r="K1938" s="159">
        <f t="shared" si="313"/>
        <v>0</v>
      </c>
      <c r="L1938" s="160"/>
    </row>
    <row r="1939" spans="1:12" ht="63" x14ac:dyDescent="0.2">
      <c r="A1939" s="129" t="str">
        <f>IF(F1939&lt;&gt;"",1+MAX($A$6:B1947),"")</f>
        <v/>
      </c>
      <c r="B1939" s="126"/>
      <c r="C1939" s="120"/>
      <c r="D1939" s="183"/>
      <c r="E1939" s="172" t="s">
        <v>657</v>
      </c>
      <c r="F1939" s="123"/>
      <c r="G1939" s="124"/>
      <c r="H1939" s="125"/>
      <c r="I1939" s="126"/>
      <c r="J1939" s="37"/>
      <c r="K1939" s="159"/>
      <c r="L1939" s="160"/>
    </row>
    <row r="1940" spans="1:12" x14ac:dyDescent="0.2">
      <c r="A1940" s="129">
        <f ca="1">IF(F1940&lt;&gt;"",1+MAX($A$6:B1948),"")</f>
        <v>887</v>
      </c>
      <c r="B1940" s="126" t="s">
        <v>610</v>
      </c>
      <c r="C1940" s="120" t="s">
        <v>459</v>
      </c>
      <c r="D1940" s="120"/>
      <c r="E1940" s="122" t="s">
        <v>460</v>
      </c>
      <c r="F1940" s="123">
        <f>322*1*10/27</f>
        <v>119.25925925925925</v>
      </c>
      <c r="G1940" s="184">
        <v>0.1</v>
      </c>
      <c r="H1940" s="125">
        <f t="shared" ref="H1940:H1947" si="315">F1940*(1+G1940)</f>
        <v>131.18518518518519</v>
      </c>
      <c r="I1940" s="126" t="s">
        <v>461</v>
      </c>
      <c r="J1940" s="37">
        <f>$J$11</f>
        <v>0</v>
      </c>
      <c r="K1940" s="159">
        <f t="shared" ref="K1940:K1947" si="316">J1940*H1940</f>
        <v>0</v>
      </c>
      <c r="L1940" s="160"/>
    </row>
    <row r="1941" spans="1:12" x14ac:dyDescent="0.2">
      <c r="A1941" s="129">
        <f ca="1">IF(F1941&lt;&gt;"",1+MAX($A$6:B1949),"")</f>
        <v>888</v>
      </c>
      <c r="B1941" s="126" t="s">
        <v>610</v>
      </c>
      <c r="C1941" s="120" t="s">
        <v>459</v>
      </c>
      <c r="D1941" s="120"/>
      <c r="E1941" s="122" t="s">
        <v>544</v>
      </c>
      <c r="F1941" s="123">
        <f>322*10*2</f>
        <v>6440</v>
      </c>
      <c r="G1941" s="184">
        <v>0.1</v>
      </c>
      <c r="H1941" s="125">
        <f t="shared" si="315"/>
        <v>7084.0000000000009</v>
      </c>
      <c r="I1941" s="126" t="s">
        <v>463</v>
      </c>
      <c r="J1941" s="37">
        <f>K$209</f>
        <v>0</v>
      </c>
      <c r="K1941" s="159">
        <f t="shared" si="316"/>
        <v>0</v>
      </c>
      <c r="L1941" s="160"/>
    </row>
    <row r="1942" spans="1:12" x14ac:dyDescent="0.2">
      <c r="A1942" s="129">
        <f ca="1">IF(F1942&lt;&gt;"",1+MAX($A$6:B1950),"")</f>
        <v>889</v>
      </c>
      <c r="B1942" s="126" t="s">
        <v>610</v>
      </c>
      <c r="C1942" s="120" t="s">
        <v>459</v>
      </c>
      <c r="D1942" s="120"/>
      <c r="E1942" s="122" t="s">
        <v>568</v>
      </c>
      <c r="F1942" s="123">
        <f>1.043*1.2*2*1.13*322*10/1.17</f>
        <v>7784.73805128205</v>
      </c>
      <c r="G1942" s="184">
        <v>0.1</v>
      </c>
      <c r="H1942" s="125">
        <f t="shared" si="315"/>
        <v>8563.2118564102566</v>
      </c>
      <c r="I1942" s="126" t="s">
        <v>292</v>
      </c>
      <c r="J1942" s="37">
        <f t="shared" ref="J1942:J1947" si="317">$J$15</f>
        <v>0</v>
      </c>
      <c r="K1942" s="159">
        <f t="shared" si="316"/>
        <v>0</v>
      </c>
      <c r="L1942" s="160"/>
    </row>
    <row r="1943" spans="1:12" x14ac:dyDescent="0.2">
      <c r="A1943" s="129">
        <f ca="1">IF(F1943&lt;&gt;"",1+MAX($A$6:B1951),"")</f>
        <v>890</v>
      </c>
      <c r="B1943" s="126" t="s">
        <v>610</v>
      </c>
      <c r="C1943" s="120" t="s">
        <v>459</v>
      </c>
      <c r="D1943" s="120"/>
      <c r="E1943" s="122" t="s">
        <v>559</v>
      </c>
      <c r="F1943" s="123">
        <f>1.043*1.2*2*1.13*322*10</f>
        <v>9108.1435199999978</v>
      </c>
      <c r="G1943" s="184">
        <v>0.1</v>
      </c>
      <c r="H1943" s="125">
        <f t="shared" si="315"/>
        <v>10018.957871999999</v>
      </c>
      <c r="I1943" s="126" t="s">
        <v>292</v>
      </c>
      <c r="J1943" s="37">
        <f t="shared" si="317"/>
        <v>0</v>
      </c>
      <c r="K1943" s="159">
        <f t="shared" si="316"/>
        <v>0</v>
      </c>
      <c r="L1943" s="160"/>
    </row>
    <row r="1944" spans="1:12" x14ac:dyDescent="0.2">
      <c r="A1944" s="129">
        <f ca="1">IF(F1944&lt;&gt;"",1+MAX($A$6:B1952),"")</f>
        <v>891</v>
      </c>
      <c r="B1944" s="126" t="s">
        <v>610</v>
      </c>
      <c r="C1944" s="120" t="s">
        <v>459</v>
      </c>
      <c r="D1944" s="120"/>
      <c r="E1944" s="122" t="s">
        <v>658</v>
      </c>
      <c r="F1944" s="123">
        <f>4*10*1.5*1.2*2</f>
        <v>144</v>
      </c>
      <c r="G1944" s="184">
        <v>0.1</v>
      </c>
      <c r="H1944" s="125">
        <f t="shared" si="315"/>
        <v>158.4</v>
      </c>
      <c r="I1944" s="126" t="s">
        <v>292</v>
      </c>
      <c r="J1944" s="37">
        <f t="shared" si="317"/>
        <v>0</v>
      </c>
      <c r="K1944" s="159">
        <f t="shared" si="316"/>
        <v>0</v>
      </c>
      <c r="L1944" s="160"/>
    </row>
    <row r="1945" spans="1:12" x14ac:dyDescent="0.2">
      <c r="A1945" s="129">
        <f ca="1">IF(F1945&lt;&gt;"",1+MAX($A$6:B1953),"")</f>
        <v>892</v>
      </c>
      <c r="B1945" s="126" t="s">
        <v>610</v>
      </c>
      <c r="C1945" s="120" t="s">
        <v>459</v>
      </c>
      <c r="D1945" s="120"/>
      <c r="E1945" s="122" t="s">
        <v>537</v>
      </c>
      <c r="F1945" s="123">
        <f>(322/1+1)*7.5*1.043*1.2*2</f>
        <v>6064.0019999999995</v>
      </c>
      <c r="G1945" s="184">
        <v>0.1</v>
      </c>
      <c r="H1945" s="125">
        <f t="shared" si="315"/>
        <v>6670.4021999999995</v>
      </c>
      <c r="I1945" s="126" t="s">
        <v>292</v>
      </c>
      <c r="J1945" s="37">
        <f t="shared" si="317"/>
        <v>0</v>
      </c>
      <c r="K1945" s="159">
        <f t="shared" si="316"/>
        <v>0</v>
      </c>
      <c r="L1945" s="160"/>
    </row>
    <row r="1946" spans="1:12" x14ac:dyDescent="0.2">
      <c r="A1946" s="129">
        <f ca="1">IF(F1946&lt;&gt;"",1+MAX($A$6:B1954),"")</f>
        <v>893</v>
      </c>
      <c r="B1946" s="126" t="s">
        <v>610</v>
      </c>
      <c r="C1946" s="120" t="s">
        <v>459</v>
      </c>
      <c r="D1946" s="120"/>
      <c r="E1946" s="122" t="s">
        <v>659</v>
      </c>
      <c r="F1946" s="123">
        <f>322/1.33*3.83*1.043*1.2</f>
        <v>1160.5625684210524</v>
      </c>
      <c r="G1946" s="184">
        <v>0.1</v>
      </c>
      <c r="H1946" s="125">
        <f t="shared" si="315"/>
        <v>1276.6188252631578</v>
      </c>
      <c r="I1946" s="126" t="s">
        <v>292</v>
      </c>
      <c r="J1946" s="37">
        <f t="shared" si="317"/>
        <v>0</v>
      </c>
      <c r="K1946" s="159">
        <f t="shared" si="316"/>
        <v>0</v>
      </c>
      <c r="L1946" s="160"/>
    </row>
    <row r="1947" spans="1:12" x14ac:dyDescent="0.2">
      <c r="A1947" s="129">
        <f ca="1">IF(F1947&lt;&gt;"",1+MAX($A$6:B1955),"")</f>
        <v>894</v>
      </c>
      <c r="B1947" s="126" t="s">
        <v>610</v>
      </c>
      <c r="C1947" s="120" t="s">
        <v>459</v>
      </c>
      <c r="D1947" s="120"/>
      <c r="E1947" s="122" t="s">
        <v>660</v>
      </c>
      <c r="F1947" s="123">
        <f>10/0.25*1.5*0.376*1.2*2</f>
        <v>54.143999999999998</v>
      </c>
      <c r="G1947" s="184">
        <v>0.1</v>
      </c>
      <c r="H1947" s="125">
        <f t="shared" si="315"/>
        <v>59.558400000000006</v>
      </c>
      <c r="I1947" s="126" t="s">
        <v>292</v>
      </c>
      <c r="J1947" s="37">
        <f t="shared" si="317"/>
        <v>0</v>
      </c>
      <c r="K1947" s="159">
        <f t="shared" si="316"/>
        <v>0</v>
      </c>
      <c r="L1947" s="160"/>
    </row>
    <row r="1948" spans="1:12" ht="63" x14ac:dyDescent="0.2">
      <c r="A1948" s="129" t="str">
        <f>IF(F1948&lt;&gt;"",1+MAX($A$6:B1956),"")</f>
        <v/>
      </c>
      <c r="B1948" s="126"/>
      <c r="C1948" s="120"/>
      <c r="D1948" s="183"/>
      <c r="E1948" s="172" t="s">
        <v>661</v>
      </c>
      <c r="F1948" s="123"/>
      <c r="G1948" s="124"/>
      <c r="H1948" s="125"/>
      <c r="I1948" s="126"/>
      <c r="J1948" s="37"/>
      <c r="K1948" s="159"/>
      <c r="L1948" s="160"/>
    </row>
    <row r="1949" spans="1:12" x14ac:dyDescent="0.2">
      <c r="A1949" s="129">
        <f ca="1">IF(F1949&lt;&gt;"",1+MAX($A$6:B1957),"")</f>
        <v>895</v>
      </c>
      <c r="B1949" s="126" t="s">
        <v>610</v>
      </c>
      <c r="C1949" s="120" t="s">
        <v>459</v>
      </c>
      <c r="D1949" s="120"/>
      <c r="E1949" s="122" t="s">
        <v>460</v>
      </c>
      <c r="F1949" s="123">
        <f>43*1*10/27</f>
        <v>15.925925925925926</v>
      </c>
      <c r="G1949" s="184">
        <v>0.1</v>
      </c>
      <c r="H1949" s="125">
        <f t="shared" ref="H1949:H1955" si="318">F1949*(1+G1949)</f>
        <v>17.518518518518519</v>
      </c>
      <c r="I1949" s="126" t="s">
        <v>461</v>
      </c>
      <c r="J1949" s="37">
        <f>$J$11</f>
        <v>0</v>
      </c>
      <c r="K1949" s="159">
        <f t="shared" ref="K1949:K1955" si="319">J1949*H1949</f>
        <v>0</v>
      </c>
      <c r="L1949" s="160"/>
    </row>
    <row r="1950" spans="1:12" x14ac:dyDescent="0.2">
      <c r="A1950" s="129">
        <f ca="1">IF(F1950&lt;&gt;"",1+MAX($A$6:B1958),"")</f>
        <v>896</v>
      </c>
      <c r="B1950" s="126" t="s">
        <v>610</v>
      </c>
      <c r="C1950" s="120" t="s">
        <v>459</v>
      </c>
      <c r="D1950" s="120"/>
      <c r="E1950" s="122" t="s">
        <v>544</v>
      </c>
      <c r="F1950" s="123">
        <f>43*10*2</f>
        <v>860</v>
      </c>
      <c r="G1950" s="184">
        <v>0.1</v>
      </c>
      <c r="H1950" s="125">
        <f t="shared" si="318"/>
        <v>946.00000000000011</v>
      </c>
      <c r="I1950" s="126" t="s">
        <v>463</v>
      </c>
      <c r="J1950" s="37">
        <f>K$209</f>
        <v>0</v>
      </c>
      <c r="K1950" s="159">
        <f t="shared" si="319"/>
        <v>0</v>
      </c>
      <c r="L1950" s="160"/>
    </row>
    <row r="1951" spans="1:12" x14ac:dyDescent="0.2">
      <c r="A1951" s="129">
        <f ca="1">IF(F1951&lt;&gt;"",1+MAX($A$6:B1959),"")</f>
        <v>897</v>
      </c>
      <c r="B1951" s="126" t="s">
        <v>610</v>
      </c>
      <c r="C1951" s="120" t="s">
        <v>459</v>
      </c>
      <c r="D1951" s="120"/>
      <c r="E1951" s="122" t="s">
        <v>662</v>
      </c>
      <c r="F1951" s="123">
        <f>1.5*1.2*2*2*1.13*43*10</f>
        <v>3498.4799999999996</v>
      </c>
      <c r="G1951" s="184">
        <v>0.1</v>
      </c>
      <c r="H1951" s="125">
        <f t="shared" si="318"/>
        <v>3848.328</v>
      </c>
      <c r="I1951" s="126" t="s">
        <v>292</v>
      </c>
      <c r="J1951" s="37">
        <f t="shared" ref="J1951:J1955" si="320">$J$15</f>
        <v>0</v>
      </c>
      <c r="K1951" s="159">
        <f t="shared" si="319"/>
        <v>0</v>
      </c>
      <c r="L1951" s="160"/>
    </row>
    <row r="1952" spans="1:12" x14ac:dyDescent="0.2">
      <c r="A1952" s="129">
        <f ca="1">IF(F1952&lt;&gt;"",1+MAX($A$6:B1960),"")</f>
        <v>898</v>
      </c>
      <c r="B1952" s="126" t="s">
        <v>610</v>
      </c>
      <c r="C1952" s="120" t="s">
        <v>459</v>
      </c>
      <c r="D1952" s="120"/>
      <c r="E1952" s="122" t="s">
        <v>663</v>
      </c>
      <c r="F1952" s="123">
        <f>6*10*1.5*1.2*2</f>
        <v>216</v>
      </c>
      <c r="G1952" s="184">
        <v>0.1</v>
      </c>
      <c r="H1952" s="125">
        <f t="shared" si="318"/>
        <v>237.60000000000002</v>
      </c>
      <c r="I1952" s="126" t="s">
        <v>292</v>
      </c>
      <c r="J1952" s="37">
        <f t="shared" si="320"/>
        <v>0</v>
      </c>
      <c r="K1952" s="159">
        <f t="shared" si="319"/>
        <v>0</v>
      </c>
      <c r="L1952" s="160"/>
    </row>
    <row r="1953" spans="1:12" x14ac:dyDescent="0.2">
      <c r="A1953" s="129">
        <f ca="1">IF(F1953&lt;&gt;"",1+MAX($A$6:B1961),"")</f>
        <v>899</v>
      </c>
      <c r="B1953" s="126" t="s">
        <v>610</v>
      </c>
      <c r="C1953" s="120" t="s">
        <v>459</v>
      </c>
      <c r="D1953" s="120"/>
      <c r="E1953" s="122" t="s">
        <v>655</v>
      </c>
      <c r="F1953" s="123">
        <f>(43/1+1)*7.5*1.043*1.2*2</f>
        <v>826.05599999999993</v>
      </c>
      <c r="G1953" s="184">
        <v>0.1</v>
      </c>
      <c r="H1953" s="125">
        <f t="shared" si="318"/>
        <v>908.66160000000002</v>
      </c>
      <c r="I1953" s="126" t="s">
        <v>292</v>
      </c>
      <c r="J1953" s="37">
        <f t="shared" si="320"/>
        <v>0</v>
      </c>
      <c r="K1953" s="159">
        <f t="shared" si="319"/>
        <v>0</v>
      </c>
      <c r="L1953" s="160"/>
    </row>
    <row r="1954" spans="1:12" x14ac:dyDescent="0.2">
      <c r="A1954" s="129">
        <f ca="1">IF(F1954&lt;&gt;"",1+MAX($A$6:B1962),"")</f>
        <v>900</v>
      </c>
      <c r="B1954" s="126" t="s">
        <v>610</v>
      </c>
      <c r="C1954" s="120" t="s">
        <v>459</v>
      </c>
      <c r="D1954" s="120"/>
      <c r="E1954" s="122" t="s">
        <v>664</v>
      </c>
      <c r="F1954" s="123">
        <f>43/1.33*3.83*1.043*1.2</f>
        <v>154.98195789473684</v>
      </c>
      <c r="G1954" s="184">
        <v>0.1</v>
      </c>
      <c r="H1954" s="125">
        <f t="shared" si="318"/>
        <v>170.48015368421053</v>
      </c>
      <c r="I1954" s="126" t="s">
        <v>292</v>
      </c>
      <c r="J1954" s="37">
        <f t="shared" si="320"/>
        <v>0</v>
      </c>
      <c r="K1954" s="159">
        <f t="shared" si="319"/>
        <v>0</v>
      </c>
      <c r="L1954" s="160"/>
    </row>
    <row r="1955" spans="1:12" x14ac:dyDescent="0.2">
      <c r="A1955" s="129">
        <f ca="1">IF(F1955&lt;&gt;"",1+MAX($A$6:B1963),"")</f>
        <v>901</v>
      </c>
      <c r="B1955" s="126" t="s">
        <v>610</v>
      </c>
      <c r="C1955" s="120" t="s">
        <v>459</v>
      </c>
      <c r="D1955" s="120"/>
      <c r="E1955" s="122" t="s">
        <v>665</v>
      </c>
      <c r="F1955" s="123">
        <f>10/0.25*1.5*0.668*1.2*2</f>
        <v>96.192000000000007</v>
      </c>
      <c r="G1955" s="184">
        <v>0.1</v>
      </c>
      <c r="H1955" s="125">
        <f t="shared" si="318"/>
        <v>105.81120000000001</v>
      </c>
      <c r="I1955" s="126" t="s">
        <v>292</v>
      </c>
      <c r="J1955" s="37">
        <f t="shared" si="320"/>
        <v>0</v>
      </c>
      <c r="K1955" s="159">
        <f t="shared" si="319"/>
        <v>0</v>
      </c>
      <c r="L1955" s="160"/>
    </row>
    <row r="1956" spans="1:12" x14ac:dyDescent="0.2">
      <c r="A1956" s="129" t="str">
        <f>IF(F1956&lt;&gt;"",1+MAX($A$6:B1964),"")</f>
        <v/>
      </c>
      <c r="B1956" s="126"/>
      <c r="C1956" s="120"/>
      <c r="D1956" s="120"/>
      <c r="E1956" s="122"/>
      <c r="F1956" s="123"/>
      <c r="G1956" s="184"/>
      <c r="H1956" s="125"/>
      <c r="I1956" s="126"/>
      <c r="J1956" s="37"/>
      <c r="K1956" s="159"/>
      <c r="L1956" s="160"/>
    </row>
    <row r="1957" spans="1:12" x14ac:dyDescent="0.2">
      <c r="A1957" s="129" t="str">
        <f>IF(F1957&lt;&gt;"",1+MAX($A$6:B1965),"")</f>
        <v/>
      </c>
      <c r="B1957" s="126"/>
      <c r="C1957" s="120"/>
      <c r="D1957" s="120"/>
      <c r="E1957" s="172" t="s">
        <v>575</v>
      </c>
      <c r="F1957" s="123"/>
      <c r="G1957" s="184"/>
      <c r="H1957" s="125"/>
      <c r="I1957" s="126"/>
      <c r="J1957" s="23"/>
      <c r="K1957" s="207"/>
      <c r="L1957" s="160"/>
    </row>
    <row r="1958" spans="1:12" ht="78.75" x14ac:dyDescent="0.2">
      <c r="A1958" s="129" t="str">
        <f>IF(F1958&lt;&gt;"",1+MAX($A$6:B1966),"")</f>
        <v/>
      </c>
      <c r="B1958" s="126"/>
      <c r="C1958" s="120"/>
      <c r="D1958" s="183"/>
      <c r="E1958" s="172" t="s">
        <v>666</v>
      </c>
      <c r="F1958" s="123"/>
      <c r="G1958" s="124"/>
      <c r="H1958" s="125"/>
      <c r="I1958" s="126"/>
      <c r="J1958" s="37"/>
      <c r="K1958" s="159"/>
      <c r="L1958" s="160"/>
    </row>
    <row r="1959" spans="1:12" x14ac:dyDescent="0.2">
      <c r="A1959" s="129">
        <f ca="1">IF(F1959&lt;&gt;"",1+MAX($A$6:B1967),"")</f>
        <v>902</v>
      </c>
      <c r="B1959" s="126" t="s">
        <v>610</v>
      </c>
      <c r="C1959" s="120" t="s">
        <v>459</v>
      </c>
      <c r="D1959" s="120"/>
      <c r="E1959" s="122" t="s">
        <v>460</v>
      </c>
      <c r="F1959" s="123">
        <f>3*1.5*10*1/27</f>
        <v>1.6666666666666667</v>
      </c>
      <c r="G1959" s="184">
        <v>0.1</v>
      </c>
      <c r="H1959" s="125">
        <f t="shared" ref="H1959:H1962" si="321">F1959*(1+G1959)</f>
        <v>1.8333333333333335</v>
      </c>
      <c r="I1959" s="126" t="s">
        <v>461</v>
      </c>
      <c r="J1959" s="37">
        <f>$J$11</f>
        <v>0</v>
      </c>
      <c r="K1959" s="159">
        <f t="shared" ref="K1959:K1962" si="322">J1959*H1959</f>
        <v>0</v>
      </c>
      <c r="L1959" s="160"/>
    </row>
    <row r="1960" spans="1:12" x14ac:dyDescent="0.2">
      <c r="A1960" s="129">
        <f ca="1">IF(F1960&lt;&gt;"",1+MAX($A$6:B1968),"")</f>
        <v>903</v>
      </c>
      <c r="B1960" s="126" t="s">
        <v>610</v>
      </c>
      <c r="C1960" s="120" t="s">
        <v>459</v>
      </c>
      <c r="D1960" s="120"/>
      <c r="E1960" s="122" t="s">
        <v>577</v>
      </c>
      <c r="F1960" s="123">
        <f>2*9.5*10*1</f>
        <v>190</v>
      </c>
      <c r="G1960" s="184">
        <v>0.1</v>
      </c>
      <c r="H1960" s="125">
        <f t="shared" si="321"/>
        <v>209.00000000000003</v>
      </c>
      <c r="I1960" s="126" t="s">
        <v>463</v>
      </c>
      <c r="J1960" s="37">
        <f>K$303</f>
        <v>0</v>
      </c>
      <c r="K1960" s="159">
        <f t="shared" si="322"/>
        <v>0</v>
      </c>
      <c r="L1960" s="160"/>
    </row>
    <row r="1961" spans="1:12" x14ac:dyDescent="0.2">
      <c r="A1961" s="129">
        <f ca="1">IF(F1961&lt;&gt;"",1+MAX($A$6:B1969),"")</f>
        <v>904</v>
      </c>
      <c r="B1961" s="126" t="s">
        <v>610</v>
      </c>
      <c r="C1961" s="120" t="s">
        <v>459</v>
      </c>
      <c r="D1961" s="120"/>
      <c r="E1961" s="122" t="s">
        <v>578</v>
      </c>
      <c r="F1961" s="123">
        <f>8*15*3.4*1.2*1</f>
        <v>489.59999999999997</v>
      </c>
      <c r="G1961" s="184">
        <v>0.1</v>
      </c>
      <c r="H1961" s="125">
        <f t="shared" si="321"/>
        <v>538.56000000000006</v>
      </c>
      <c r="I1961" s="126" t="s">
        <v>292</v>
      </c>
      <c r="J1961" s="37">
        <f t="shared" ref="J1961:J1962" si="323">$J$15</f>
        <v>0</v>
      </c>
      <c r="K1961" s="159">
        <f t="shared" si="322"/>
        <v>0</v>
      </c>
      <c r="L1961" s="160"/>
    </row>
    <row r="1962" spans="1:12" x14ac:dyDescent="0.2">
      <c r="A1962" s="129">
        <f ca="1">IF(F1962&lt;&gt;"",1+MAX($A$6:B1970),"")</f>
        <v>905</v>
      </c>
      <c r="B1962" s="126" t="s">
        <v>610</v>
      </c>
      <c r="C1962" s="120" t="s">
        <v>459</v>
      </c>
      <c r="D1962" s="120"/>
      <c r="E1962" s="122" t="s">
        <v>579</v>
      </c>
      <c r="F1962" s="123">
        <f>(10/0.5+1)*(2*3+4*1.5+0.5*3)*0.668*1.2*1</f>
        <v>227.25360000000001</v>
      </c>
      <c r="G1962" s="184">
        <v>0.1</v>
      </c>
      <c r="H1962" s="125">
        <f t="shared" si="321"/>
        <v>249.97896000000003</v>
      </c>
      <c r="I1962" s="126" t="s">
        <v>292</v>
      </c>
      <c r="J1962" s="37">
        <f t="shared" si="323"/>
        <v>0</v>
      </c>
      <c r="K1962" s="159">
        <f t="shared" si="322"/>
        <v>0</v>
      </c>
      <c r="L1962" s="160"/>
    </row>
    <row r="1963" spans="1:12" ht="78.75" x14ac:dyDescent="0.2">
      <c r="A1963" s="129" t="str">
        <f>IF(F1963&lt;&gt;"",1+MAX($A$6:B1971),"")</f>
        <v/>
      </c>
      <c r="B1963" s="126"/>
      <c r="C1963" s="120"/>
      <c r="D1963" s="183"/>
      <c r="E1963" s="172" t="s">
        <v>667</v>
      </c>
      <c r="F1963" s="123"/>
      <c r="G1963" s="124"/>
      <c r="H1963" s="125"/>
      <c r="I1963" s="126"/>
      <c r="J1963" s="37"/>
      <c r="K1963" s="159"/>
      <c r="L1963" s="160"/>
    </row>
    <row r="1964" spans="1:12" x14ac:dyDescent="0.2">
      <c r="A1964" s="129">
        <f ca="1">IF(F1964&lt;&gt;"",1+MAX($A$6:B1972),"")</f>
        <v>906</v>
      </c>
      <c r="B1964" s="126" t="s">
        <v>610</v>
      </c>
      <c r="C1964" s="120" t="s">
        <v>459</v>
      </c>
      <c r="D1964" s="120"/>
      <c r="E1964" s="122" t="s">
        <v>460</v>
      </c>
      <c r="F1964" s="123">
        <f>2*1.33*10*7/27</f>
        <v>6.8962962962962973</v>
      </c>
      <c r="G1964" s="184">
        <v>0.1</v>
      </c>
      <c r="H1964" s="125">
        <f t="shared" ref="H1964:H1967" si="324">F1964*(1+G1964)</f>
        <v>7.5859259259259275</v>
      </c>
      <c r="I1964" s="126" t="s">
        <v>461</v>
      </c>
      <c r="J1964" s="37">
        <f>$J$11</f>
        <v>0</v>
      </c>
      <c r="K1964" s="159">
        <f t="shared" ref="K1964:K1967" si="325">J1964*H1964</f>
        <v>0</v>
      </c>
      <c r="L1964" s="160"/>
    </row>
    <row r="1965" spans="1:12" x14ac:dyDescent="0.2">
      <c r="A1965" s="129">
        <f ca="1">IF(F1965&lt;&gt;"",1+MAX($A$6:B1973),"")</f>
        <v>907</v>
      </c>
      <c r="B1965" s="126" t="s">
        <v>610</v>
      </c>
      <c r="C1965" s="120" t="s">
        <v>459</v>
      </c>
      <c r="D1965" s="120"/>
      <c r="E1965" s="122" t="s">
        <v>577</v>
      </c>
      <c r="F1965" s="123">
        <f>2*(2+1.33)*10*7</f>
        <v>466.19999999999993</v>
      </c>
      <c r="G1965" s="184">
        <v>0.1</v>
      </c>
      <c r="H1965" s="125">
        <f t="shared" si="324"/>
        <v>512.81999999999994</v>
      </c>
      <c r="I1965" s="126" t="s">
        <v>463</v>
      </c>
      <c r="J1965" s="37">
        <f>K$303</f>
        <v>0</v>
      </c>
      <c r="K1965" s="159">
        <f t="shared" si="325"/>
        <v>0</v>
      </c>
      <c r="L1965" s="160"/>
    </row>
    <row r="1966" spans="1:12" x14ac:dyDescent="0.2">
      <c r="A1966" s="129">
        <f ca="1">IF(F1966&lt;&gt;"",1+MAX($A$6:B1974),"")</f>
        <v>908</v>
      </c>
      <c r="B1966" s="126" t="s">
        <v>610</v>
      </c>
      <c r="C1966" s="120" t="s">
        <v>459</v>
      </c>
      <c r="D1966" s="120"/>
      <c r="E1966" s="122" t="s">
        <v>581</v>
      </c>
      <c r="F1966" s="123">
        <f>6*15*3.4*1.2*7</f>
        <v>2570.4</v>
      </c>
      <c r="G1966" s="184">
        <v>0.1</v>
      </c>
      <c r="H1966" s="125">
        <f t="shared" si="324"/>
        <v>2827.4400000000005</v>
      </c>
      <c r="I1966" s="126" t="s">
        <v>292</v>
      </c>
      <c r="J1966" s="37">
        <f t="shared" ref="J1966:J1967" si="326">$J$15</f>
        <v>0</v>
      </c>
      <c r="K1966" s="159">
        <f t="shared" si="325"/>
        <v>0</v>
      </c>
      <c r="L1966" s="160"/>
    </row>
    <row r="1967" spans="1:12" x14ac:dyDescent="0.2">
      <c r="A1967" s="129">
        <f ca="1">IF(F1967&lt;&gt;"",1+MAX($A$6:B1975),"")</f>
        <v>909</v>
      </c>
      <c r="B1967" s="126" t="s">
        <v>610</v>
      </c>
      <c r="C1967" s="120" t="s">
        <v>459</v>
      </c>
      <c r="D1967" s="120"/>
      <c r="E1967" s="122" t="s">
        <v>668</v>
      </c>
      <c r="F1967" s="123">
        <f>(10/0.42+1)*(2*2+3*1.5+0.5*2)*0.668*1.2*7</f>
        <v>1322.5064000000002</v>
      </c>
      <c r="G1967" s="184">
        <v>0.1</v>
      </c>
      <c r="H1967" s="125">
        <f t="shared" si="324"/>
        <v>1454.7570400000004</v>
      </c>
      <c r="I1967" s="126" t="s">
        <v>292</v>
      </c>
      <c r="J1967" s="37">
        <f t="shared" si="326"/>
        <v>0</v>
      </c>
      <c r="K1967" s="159">
        <f t="shared" si="325"/>
        <v>0</v>
      </c>
      <c r="L1967" s="160"/>
    </row>
    <row r="1968" spans="1:12" ht="78.75" x14ac:dyDescent="0.2">
      <c r="A1968" s="129" t="str">
        <f>IF(F1968&lt;&gt;"",1+MAX($A$6:B1976),"")</f>
        <v/>
      </c>
      <c r="B1968" s="126"/>
      <c r="C1968" s="120"/>
      <c r="D1968" s="183"/>
      <c r="E1968" s="172" t="s">
        <v>669</v>
      </c>
      <c r="F1968" s="123"/>
      <c r="G1968" s="124"/>
      <c r="H1968" s="125"/>
      <c r="I1968" s="126"/>
      <c r="J1968" s="37"/>
      <c r="K1968" s="159"/>
      <c r="L1968" s="160"/>
    </row>
    <row r="1969" spans="1:12" x14ac:dyDescent="0.2">
      <c r="A1969" s="129">
        <f ca="1">IF(F1969&lt;&gt;"",1+MAX($A$6:B1977),"")</f>
        <v>910</v>
      </c>
      <c r="B1969" s="126" t="s">
        <v>610</v>
      </c>
      <c r="C1969" s="120" t="s">
        <v>459</v>
      </c>
      <c r="D1969" s="120"/>
      <c r="E1969" s="122" t="s">
        <v>460</v>
      </c>
      <c r="F1969" s="123">
        <f>3.5*0.83*10*4/27</f>
        <v>4.3037037037037029</v>
      </c>
      <c r="G1969" s="184">
        <v>0.1</v>
      </c>
      <c r="H1969" s="125">
        <f t="shared" ref="H1969:H1972" si="327">F1969*(1+G1969)</f>
        <v>4.7340740740740737</v>
      </c>
      <c r="I1969" s="126" t="s">
        <v>461</v>
      </c>
      <c r="J1969" s="37">
        <f>$J$11</f>
        <v>0</v>
      </c>
      <c r="K1969" s="159">
        <f t="shared" ref="K1969:K1972" si="328">J1969*H1969</f>
        <v>0</v>
      </c>
      <c r="L1969" s="160"/>
    </row>
    <row r="1970" spans="1:12" x14ac:dyDescent="0.2">
      <c r="A1970" s="129">
        <f ca="1">IF(F1970&lt;&gt;"",1+MAX($A$6:B1978),"")</f>
        <v>911</v>
      </c>
      <c r="B1970" s="126" t="s">
        <v>610</v>
      </c>
      <c r="C1970" s="120" t="s">
        <v>459</v>
      </c>
      <c r="D1970" s="120"/>
      <c r="E1970" s="122" t="s">
        <v>577</v>
      </c>
      <c r="F1970" s="123">
        <f>2*(3.5+0.83)*10*4</f>
        <v>346.4</v>
      </c>
      <c r="G1970" s="184">
        <v>0.1</v>
      </c>
      <c r="H1970" s="125">
        <f t="shared" si="327"/>
        <v>381.04</v>
      </c>
      <c r="I1970" s="126" t="s">
        <v>463</v>
      </c>
      <c r="J1970" s="37">
        <f>K$303</f>
        <v>0</v>
      </c>
      <c r="K1970" s="159">
        <f t="shared" si="328"/>
        <v>0</v>
      </c>
      <c r="L1970" s="160"/>
    </row>
    <row r="1971" spans="1:12" x14ac:dyDescent="0.2">
      <c r="A1971" s="129">
        <f ca="1">IF(F1971&lt;&gt;"",1+MAX($A$6:B1979),"")</f>
        <v>912</v>
      </c>
      <c r="B1971" s="126" t="s">
        <v>610</v>
      </c>
      <c r="C1971" s="120" t="s">
        <v>459</v>
      </c>
      <c r="D1971" s="120"/>
      <c r="E1971" s="122" t="s">
        <v>670</v>
      </c>
      <c r="F1971" s="123">
        <f>8*15*2.044*1.2*4</f>
        <v>1177.3440000000001</v>
      </c>
      <c r="G1971" s="184">
        <v>0.1</v>
      </c>
      <c r="H1971" s="125">
        <f t="shared" si="327"/>
        <v>1295.0784000000001</v>
      </c>
      <c r="I1971" s="126" t="s">
        <v>292</v>
      </c>
      <c r="J1971" s="37">
        <f t="shared" ref="J1971:J1972" si="329">$J$15</f>
        <v>0</v>
      </c>
      <c r="K1971" s="159">
        <f t="shared" si="328"/>
        <v>0</v>
      </c>
      <c r="L1971" s="160"/>
    </row>
    <row r="1972" spans="1:12" x14ac:dyDescent="0.2">
      <c r="A1972" s="129">
        <f ca="1">IF(F1972&lt;&gt;"",1+MAX($A$6:B1980),"")</f>
        <v>913</v>
      </c>
      <c r="B1972" s="126" t="s">
        <v>610</v>
      </c>
      <c r="C1972" s="120" t="s">
        <v>459</v>
      </c>
      <c r="D1972" s="120"/>
      <c r="E1972" s="122" t="s">
        <v>671</v>
      </c>
      <c r="F1972" s="123">
        <f>(10/0.5+1)*(2*3.5+4*0.83+0.5*3)*0.668*1.2*4</f>
        <v>795.89260800000011</v>
      </c>
      <c r="G1972" s="184">
        <v>0.1</v>
      </c>
      <c r="H1972" s="125">
        <f t="shared" si="327"/>
        <v>875.48186880000014</v>
      </c>
      <c r="I1972" s="126" t="s">
        <v>292</v>
      </c>
      <c r="J1972" s="37">
        <f t="shared" si="329"/>
        <v>0</v>
      </c>
      <c r="K1972" s="159">
        <f t="shared" si="328"/>
        <v>0</v>
      </c>
      <c r="L1972" s="160"/>
    </row>
    <row r="1973" spans="1:12" ht="63" x14ac:dyDescent="0.2">
      <c r="A1973" s="129" t="str">
        <f>IF(F1973&lt;&gt;"",1+MAX($A$6:B1981),"")</f>
        <v/>
      </c>
      <c r="B1973" s="126"/>
      <c r="C1973" s="120"/>
      <c r="D1973" s="183"/>
      <c r="E1973" s="172" t="s">
        <v>672</v>
      </c>
      <c r="F1973" s="123"/>
      <c r="G1973" s="124"/>
      <c r="H1973" s="125"/>
      <c r="I1973" s="126"/>
      <c r="J1973" s="37"/>
      <c r="K1973" s="159"/>
      <c r="L1973" s="160"/>
    </row>
    <row r="1974" spans="1:12" x14ac:dyDescent="0.2">
      <c r="A1974" s="129">
        <f ca="1">IF(F1974&lt;&gt;"",1+MAX($A$6:B1982),"")</f>
        <v>914</v>
      </c>
      <c r="B1974" s="126" t="s">
        <v>610</v>
      </c>
      <c r="C1974" s="120" t="s">
        <v>459</v>
      </c>
      <c r="D1974" s="120"/>
      <c r="E1974" s="122" t="s">
        <v>460</v>
      </c>
      <c r="F1974" s="209">
        <f>3.14*1*1*0.25*10/27</f>
        <v>0.29074074074074074</v>
      </c>
      <c r="G1974" s="184">
        <v>0.1</v>
      </c>
      <c r="H1974" s="185">
        <f t="shared" ref="H1974:H1977" si="330">F1974*(1+G1974)</f>
        <v>0.31981481481481483</v>
      </c>
      <c r="I1974" s="126" t="s">
        <v>461</v>
      </c>
      <c r="J1974" s="37">
        <f>$J$11</f>
        <v>0</v>
      </c>
      <c r="K1974" s="159">
        <f t="shared" ref="K1974:K1977" si="331">J1974*H1974</f>
        <v>0</v>
      </c>
      <c r="L1974" s="160"/>
    </row>
    <row r="1975" spans="1:12" x14ac:dyDescent="0.2">
      <c r="A1975" s="129">
        <f ca="1">IF(F1975&lt;&gt;"",1+MAX($A$6:B1983),"")</f>
        <v>915</v>
      </c>
      <c r="B1975" s="126" t="s">
        <v>610</v>
      </c>
      <c r="C1975" s="120" t="s">
        <v>459</v>
      </c>
      <c r="D1975" s="120"/>
      <c r="E1975" s="122" t="s">
        <v>584</v>
      </c>
      <c r="F1975" s="123">
        <f>3.14*1*10</f>
        <v>31.400000000000002</v>
      </c>
      <c r="G1975" s="184">
        <v>0.1</v>
      </c>
      <c r="H1975" s="125">
        <f t="shared" si="330"/>
        <v>34.540000000000006</v>
      </c>
      <c r="I1975" s="126" t="s">
        <v>463</v>
      </c>
      <c r="J1975" s="37">
        <f>$J$313</f>
        <v>0</v>
      </c>
      <c r="K1975" s="159">
        <f t="shared" si="331"/>
        <v>0</v>
      </c>
      <c r="L1975" s="160"/>
    </row>
    <row r="1976" spans="1:12" x14ac:dyDescent="0.2">
      <c r="A1976" s="129">
        <f ca="1">IF(F1976&lt;&gt;"",1+MAX($A$6:B1984),"")</f>
        <v>916</v>
      </c>
      <c r="B1976" s="126" t="s">
        <v>610</v>
      </c>
      <c r="C1976" s="120" t="s">
        <v>459</v>
      </c>
      <c r="D1976" s="120"/>
      <c r="E1976" s="122" t="s">
        <v>585</v>
      </c>
      <c r="F1976" s="123">
        <f>4*15*2.67*1.2</f>
        <v>192.23999999999998</v>
      </c>
      <c r="G1976" s="184">
        <v>0.1</v>
      </c>
      <c r="H1976" s="125">
        <f t="shared" si="330"/>
        <v>211.464</v>
      </c>
      <c r="I1976" s="126" t="s">
        <v>292</v>
      </c>
      <c r="J1976" s="37">
        <f t="shared" ref="J1976:J1977" si="332">$J$15</f>
        <v>0</v>
      </c>
      <c r="K1976" s="159">
        <f t="shared" si="331"/>
        <v>0</v>
      </c>
      <c r="L1976" s="160"/>
    </row>
    <row r="1977" spans="1:12" x14ac:dyDescent="0.2">
      <c r="A1977" s="129">
        <f ca="1">IF(F1977&lt;&gt;"",1+MAX($A$6:B1985),"")</f>
        <v>917</v>
      </c>
      <c r="B1977" s="126" t="s">
        <v>610</v>
      </c>
      <c r="C1977" s="120" t="s">
        <v>459</v>
      </c>
      <c r="D1977" s="120"/>
      <c r="E1977" s="122" t="s">
        <v>586</v>
      </c>
      <c r="F1977" s="123">
        <f>10/0.42*3.14*1*0.376*1.2</f>
        <v>33.732571428571433</v>
      </c>
      <c r="G1977" s="184">
        <v>0.1</v>
      </c>
      <c r="H1977" s="125">
        <f t="shared" si="330"/>
        <v>37.105828571428582</v>
      </c>
      <c r="I1977" s="126" t="s">
        <v>292</v>
      </c>
      <c r="J1977" s="37">
        <f t="shared" si="332"/>
        <v>0</v>
      </c>
      <c r="K1977" s="159">
        <f t="shared" si="331"/>
        <v>0</v>
      </c>
      <c r="L1977" s="160"/>
    </row>
    <row r="1978" spans="1:12" ht="78.75" x14ac:dyDescent="0.2">
      <c r="A1978" s="129" t="str">
        <f>IF(F1978&lt;&gt;"",1+MAX($A$6:B1986),"")</f>
        <v/>
      </c>
      <c r="B1978" s="126"/>
      <c r="C1978" s="120"/>
      <c r="D1978" s="183"/>
      <c r="E1978" s="172" t="s">
        <v>673</v>
      </c>
      <c r="F1978" s="123"/>
      <c r="G1978" s="124"/>
      <c r="H1978" s="125"/>
      <c r="I1978" s="126"/>
      <c r="J1978" s="37"/>
      <c r="K1978" s="159"/>
      <c r="L1978" s="160"/>
    </row>
    <row r="1979" spans="1:12" x14ac:dyDescent="0.2">
      <c r="A1979" s="129">
        <f ca="1">IF(F1979&lt;&gt;"",1+MAX($A$6:B1987),"")</f>
        <v>918</v>
      </c>
      <c r="B1979" s="126" t="s">
        <v>610</v>
      </c>
      <c r="C1979" s="120" t="s">
        <v>459</v>
      </c>
      <c r="D1979" s="120"/>
      <c r="E1979" s="122" t="s">
        <v>460</v>
      </c>
      <c r="F1979" s="123">
        <f>3*0.67*10*2/27</f>
        <v>1.4888888888888889</v>
      </c>
      <c r="G1979" s="184">
        <v>0.1</v>
      </c>
      <c r="H1979" s="125">
        <f t="shared" ref="H1979:H1982" si="333">F1979*(1+G1979)</f>
        <v>1.637777777777778</v>
      </c>
      <c r="I1979" s="126" t="s">
        <v>461</v>
      </c>
      <c r="J1979" s="37">
        <f>$J$11</f>
        <v>0</v>
      </c>
      <c r="K1979" s="159">
        <f t="shared" ref="K1979:K1982" si="334">J1979*H1979</f>
        <v>0</v>
      </c>
      <c r="L1979" s="160"/>
    </row>
    <row r="1980" spans="1:12" x14ac:dyDescent="0.2">
      <c r="A1980" s="129">
        <f ca="1">IF(F1980&lt;&gt;"",1+MAX($A$6:B1988),"")</f>
        <v>919</v>
      </c>
      <c r="B1980" s="126" t="s">
        <v>610</v>
      </c>
      <c r="C1980" s="120" t="s">
        <v>459</v>
      </c>
      <c r="D1980" s="120"/>
      <c r="E1980" s="122" t="s">
        <v>577</v>
      </c>
      <c r="F1980" s="123">
        <f>2*(3+0.67)*10*2</f>
        <v>146.80000000000001</v>
      </c>
      <c r="G1980" s="184">
        <v>0.1</v>
      </c>
      <c r="H1980" s="125">
        <f t="shared" si="333"/>
        <v>161.48000000000002</v>
      </c>
      <c r="I1980" s="126" t="s">
        <v>463</v>
      </c>
      <c r="J1980" s="37">
        <f>K$303</f>
        <v>0</v>
      </c>
      <c r="K1980" s="159">
        <f t="shared" si="334"/>
        <v>0</v>
      </c>
      <c r="L1980" s="160"/>
    </row>
    <row r="1981" spans="1:12" x14ac:dyDescent="0.2">
      <c r="A1981" s="129">
        <f ca="1">IF(F1981&lt;&gt;"",1+MAX($A$6:B1989),"")</f>
        <v>920</v>
      </c>
      <c r="B1981" s="126" t="s">
        <v>610</v>
      </c>
      <c r="C1981" s="120" t="s">
        <v>459</v>
      </c>
      <c r="D1981" s="120"/>
      <c r="E1981" s="122" t="s">
        <v>674</v>
      </c>
      <c r="F1981" s="123">
        <f>8*15*1.5*1.2*2</f>
        <v>432</v>
      </c>
      <c r="G1981" s="184">
        <v>0.1</v>
      </c>
      <c r="H1981" s="125">
        <f t="shared" si="333"/>
        <v>475.20000000000005</v>
      </c>
      <c r="I1981" s="126" t="s">
        <v>292</v>
      </c>
      <c r="J1981" s="37">
        <f t="shared" ref="J1981:J1982" si="335">$J$15</f>
        <v>0</v>
      </c>
      <c r="K1981" s="159">
        <f t="shared" si="334"/>
        <v>0</v>
      </c>
      <c r="L1981" s="160"/>
    </row>
    <row r="1982" spans="1:12" x14ac:dyDescent="0.2">
      <c r="A1982" s="129">
        <f ca="1">IF(F1982&lt;&gt;"",1+MAX($A$6:B1990),"")</f>
        <v>921</v>
      </c>
      <c r="B1982" s="126" t="s">
        <v>610</v>
      </c>
      <c r="C1982" s="120" t="s">
        <v>459</v>
      </c>
      <c r="D1982" s="120"/>
      <c r="E1982" s="122" t="s">
        <v>671</v>
      </c>
      <c r="F1982" s="123">
        <f>(10/0.5+1)*(2*3+4*0.67+0.5*3)*0.668*1.2*2</f>
        <v>342.73209600000001</v>
      </c>
      <c r="G1982" s="184">
        <v>0.1</v>
      </c>
      <c r="H1982" s="125">
        <f t="shared" si="333"/>
        <v>377.00530560000004</v>
      </c>
      <c r="I1982" s="126" t="s">
        <v>292</v>
      </c>
      <c r="J1982" s="37">
        <f t="shared" si="335"/>
        <v>0</v>
      </c>
      <c r="K1982" s="159">
        <f t="shared" si="334"/>
        <v>0</v>
      </c>
      <c r="L1982" s="160"/>
    </row>
    <row r="1983" spans="1:12" ht="78.75" x14ac:dyDescent="0.2">
      <c r="A1983" s="129" t="str">
        <f>IF(F1983&lt;&gt;"",1+MAX($A$6:B1991),"")</f>
        <v/>
      </c>
      <c r="B1983" s="126"/>
      <c r="C1983" s="120"/>
      <c r="D1983" s="183"/>
      <c r="E1983" s="172" t="s">
        <v>675</v>
      </c>
      <c r="F1983" s="123"/>
      <c r="G1983" s="124"/>
      <c r="H1983" s="125"/>
      <c r="I1983" s="126"/>
      <c r="J1983" s="37"/>
      <c r="K1983" s="159"/>
      <c r="L1983" s="160"/>
    </row>
    <row r="1984" spans="1:12" x14ac:dyDescent="0.2">
      <c r="A1984" s="129">
        <f ca="1">IF(F1984&lt;&gt;"",1+MAX($A$6:B1992),"")</f>
        <v>922</v>
      </c>
      <c r="B1984" s="126" t="s">
        <v>610</v>
      </c>
      <c r="C1984" s="120" t="s">
        <v>459</v>
      </c>
      <c r="D1984" s="120"/>
      <c r="E1984" s="122" t="s">
        <v>460</v>
      </c>
      <c r="F1984" s="123">
        <f>1*1*10*2/27</f>
        <v>0.7407407407407407</v>
      </c>
      <c r="G1984" s="184">
        <v>0.1</v>
      </c>
      <c r="H1984" s="125">
        <f t="shared" ref="H1984:H1987" si="336">F1984*(1+G1984)</f>
        <v>0.81481481481481488</v>
      </c>
      <c r="I1984" s="126" t="s">
        <v>461</v>
      </c>
      <c r="J1984" s="37">
        <f>$J$11</f>
        <v>0</v>
      </c>
      <c r="K1984" s="159">
        <f t="shared" ref="K1984:K1987" si="337">J1984*H1984</f>
        <v>0</v>
      </c>
      <c r="L1984" s="160"/>
    </row>
    <row r="1985" spans="1:12" x14ac:dyDescent="0.2">
      <c r="A1985" s="129">
        <f ca="1">IF(F1985&lt;&gt;"",1+MAX($A$6:B1993),"")</f>
        <v>923</v>
      </c>
      <c r="B1985" s="126" t="s">
        <v>610</v>
      </c>
      <c r="C1985" s="120" t="s">
        <v>459</v>
      </c>
      <c r="D1985" s="120"/>
      <c r="E1985" s="122" t="s">
        <v>577</v>
      </c>
      <c r="F1985" s="123">
        <f>4*1*10*2</f>
        <v>80</v>
      </c>
      <c r="G1985" s="184">
        <v>0.1</v>
      </c>
      <c r="H1985" s="125">
        <f t="shared" si="336"/>
        <v>88</v>
      </c>
      <c r="I1985" s="126" t="s">
        <v>463</v>
      </c>
      <c r="J1985" s="37">
        <f>K$303</f>
        <v>0</v>
      </c>
      <c r="K1985" s="159">
        <f t="shared" si="337"/>
        <v>0</v>
      </c>
      <c r="L1985" s="160"/>
    </row>
    <row r="1986" spans="1:12" x14ac:dyDescent="0.2">
      <c r="A1986" s="129">
        <f ca="1">IF(F1986&lt;&gt;"",1+MAX($A$6:B1994),"")</f>
        <v>924</v>
      </c>
      <c r="B1986" s="126" t="s">
        <v>610</v>
      </c>
      <c r="C1986" s="120" t="s">
        <v>459</v>
      </c>
      <c r="D1986" s="120"/>
      <c r="E1986" s="122" t="s">
        <v>585</v>
      </c>
      <c r="F1986" s="123">
        <f>4*15*2.67*1.2*2</f>
        <v>384.47999999999996</v>
      </c>
      <c r="G1986" s="184">
        <v>0.1</v>
      </c>
      <c r="H1986" s="125">
        <f t="shared" si="336"/>
        <v>422.928</v>
      </c>
      <c r="I1986" s="126" t="s">
        <v>292</v>
      </c>
      <c r="J1986" s="37">
        <f t="shared" ref="J1986:J1987" si="338">$J$15</f>
        <v>0</v>
      </c>
      <c r="K1986" s="159">
        <f t="shared" si="337"/>
        <v>0</v>
      </c>
      <c r="L1986" s="160"/>
    </row>
    <row r="1987" spans="1:12" x14ac:dyDescent="0.2">
      <c r="A1987" s="129">
        <f ca="1">IF(F1987&lt;&gt;"",1+MAX($A$6:B1995),"")</f>
        <v>925</v>
      </c>
      <c r="B1987" s="126" t="s">
        <v>610</v>
      </c>
      <c r="C1987" s="120" t="s">
        <v>459</v>
      </c>
      <c r="D1987" s="120"/>
      <c r="E1987" s="122" t="s">
        <v>676</v>
      </c>
      <c r="F1987" s="123">
        <f>(10/0.5+1)*(2*1+2*1+0.5*1)*0.376*1.2*2</f>
        <v>85.276800000000009</v>
      </c>
      <c r="G1987" s="184">
        <v>0.1</v>
      </c>
      <c r="H1987" s="125">
        <f t="shared" si="336"/>
        <v>93.804480000000012</v>
      </c>
      <c r="I1987" s="126" t="s">
        <v>292</v>
      </c>
      <c r="J1987" s="37">
        <f t="shared" si="338"/>
        <v>0</v>
      </c>
      <c r="K1987" s="159">
        <f t="shared" si="337"/>
        <v>0</v>
      </c>
      <c r="L1987" s="160"/>
    </row>
    <row r="1988" spans="1:12" ht="78.75" x14ac:dyDescent="0.2">
      <c r="A1988" s="129" t="str">
        <f>IF(F1988&lt;&gt;"",1+MAX($A$6:B1996),"")</f>
        <v/>
      </c>
      <c r="B1988" s="126"/>
      <c r="C1988" s="120"/>
      <c r="D1988" s="183"/>
      <c r="E1988" s="172" t="s">
        <v>677</v>
      </c>
      <c r="F1988" s="123"/>
      <c r="G1988" s="124"/>
      <c r="H1988" s="125"/>
      <c r="I1988" s="126"/>
      <c r="J1988" s="37"/>
      <c r="K1988" s="159"/>
      <c r="L1988" s="160"/>
    </row>
    <row r="1989" spans="1:12" x14ac:dyDescent="0.2">
      <c r="A1989" s="129">
        <f ca="1">IF(F1989&lt;&gt;"",1+MAX($A$6:B1997),"")</f>
        <v>926</v>
      </c>
      <c r="B1989" s="126" t="s">
        <v>610</v>
      </c>
      <c r="C1989" s="120" t="s">
        <v>459</v>
      </c>
      <c r="D1989" s="120"/>
      <c r="E1989" s="122" t="s">
        <v>460</v>
      </c>
      <c r="F1989" s="123">
        <f>1*0.83*10*4/27</f>
        <v>1.2296296296296294</v>
      </c>
      <c r="G1989" s="184">
        <v>0.1</v>
      </c>
      <c r="H1989" s="125">
        <f t="shared" ref="H1989:H1992" si="339">F1989*(1+G1989)</f>
        <v>1.3525925925925923</v>
      </c>
      <c r="I1989" s="126" t="s">
        <v>461</v>
      </c>
      <c r="J1989" s="37">
        <f>$J$11</f>
        <v>0</v>
      </c>
      <c r="K1989" s="159">
        <f t="shared" ref="K1989:K1992" si="340">J1989*H1989</f>
        <v>0</v>
      </c>
      <c r="L1989" s="160"/>
    </row>
    <row r="1990" spans="1:12" x14ac:dyDescent="0.2">
      <c r="A1990" s="129">
        <f ca="1">IF(F1990&lt;&gt;"",1+MAX($A$6:B1998),"")</f>
        <v>927</v>
      </c>
      <c r="B1990" s="126" t="s">
        <v>610</v>
      </c>
      <c r="C1990" s="120" t="s">
        <v>459</v>
      </c>
      <c r="D1990" s="120"/>
      <c r="E1990" s="122" t="s">
        <v>577</v>
      </c>
      <c r="F1990" s="123">
        <f>2*(1+0.83)*10*4</f>
        <v>146.4</v>
      </c>
      <c r="G1990" s="184">
        <v>0.1</v>
      </c>
      <c r="H1990" s="125">
        <f t="shared" si="339"/>
        <v>161.04000000000002</v>
      </c>
      <c r="I1990" s="126" t="s">
        <v>463</v>
      </c>
      <c r="J1990" s="37">
        <f>K$303</f>
        <v>0</v>
      </c>
      <c r="K1990" s="159">
        <f t="shared" si="340"/>
        <v>0</v>
      </c>
      <c r="L1990" s="160"/>
    </row>
    <row r="1991" spans="1:12" x14ac:dyDescent="0.2">
      <c r="A1991" s="129">
        <f ca="1">IF(F1991&lt;&gt;"",1+MAX($A$6:B1999),"")</f>
        <v>928</v>
      </c>
      <c r="B1991" s="126" t="s">
        <v>610</v>
      </c>
      <c r="C1991" s="120" t="s">
        <v>459</v>
      </c>
      <c r="D1991" s="120"/>
      <c r="E1991" s="122" t="s">
        <v>678</v>
      </c>
      <c r="F1991" s="123">
        <f>4*15*2.044*1.2*4</f>
        <v>588.67200000000003</v>
      </c>
      <c r="G1991" s="184">
        <v>0.1</v>
      </c>
      <c r="H1991" s="125">
        <f t="shared" si="339"/>
        <v>647.53920000000005</v>
      </c>
      <c r="I1991" s="126" t="s">
        <v>292</v>
      </c>
      <c r="J1991" s="37">
        <f t="shared" ref="J1991:J1992" si="341">$J$15</f>
        <v>0</v>
      </c>
      <c r="K1991" s="159">
        <f t="shared" si="340"/>
        <v>0</v>
      </c>
      <c r="L1991" s="160"/>
    </row>
    <row r="1992" spans="1:12" x14ac:dyDescent="0.2">
      <c r="A1992" s="129">
        <f ca="1">IF(F1992&lt;&gt;"",1+MAX($A$6:B2000),"")</f>
        <v>929</v>
      </c>
      <c r="B1992" s="126" t="s">
        <v>610</v>
      </c>
      <c r="C1992" s="120" t="s">
        <v>459</v>
      </c>
      <c r="D1992" s="120"/>
      <c r="E1992" s="122" t="s">
        <v>671</v>
      </c>
      <c r="F1992" s="123">
        <f>(10/0.42+1)*(2*1+2*0.83+0.5*1)*0.376*1.2*4</f>
        <v>186.26911085714286</v>
      </c>
      <c r="G1992" s="184">
        <v>0.1</v>
      </c>
      <c r="H1992" s="125">
        <f t="shared" si="339"/>
        <v>204.89602194285717</v>
      </c>
      <c r="I1992" s="126" t="s">
        <v>292</v>
      </c>
      <c r="J1992" s="37">
        <f t="shared" si="341"/>
        <v>0</v>
      </c>
      <c r="K1992" s="159">
        <f t="shared" si="340"/>
        <v>0</v>
      </c>
      <c r="L1992" s="160"/>
    </row>
    <row r="1993" spans="1:12" x14ac:dyDescent="0.2">
      <c r="A1993" s="129" t="str">
        <f>IF(F1993&lt;&gt;"",1+MAX($A$6:B2001),"")</f>
        <v/>
      </c>
      <c r="B1993" s="126"/>
      <c r="C1993" s="120"/>
      <c r="D1993" s="120"/>
      <c r="E1993" s="122"/>
      <c r="F1993" s="123"/>
      <c r="G1993" s="184"/>
      <c r="H1993" s="125"/>
      <c r="I1993" s="126"/>
      <c r="J1993" s="37"/>
      <c r="K1993" s="159"/>
      <c r="L1993" s="160"/>
    </row>
    <row r="1994" spans="1:12" x14ac:dyDescent="0.2">
      <c r="A1994" s="129" t="str">
        <f>IF(F1994&lt;&gt;"",1+MAX($A$6:B2002),"")</f>
        <v/>
      </c>
      <c r="B1994" s="126"/>
      <c r="C1994" s="120"/>
      <c r="D1994" s="120"/>
      <c r="E1994" s="172" t="s">
        <v>679</v>
      </c>
      <c r="F1994" s="123"/>
      <c r="G1994" s="184"/>
      <c r="H1994" s="125"/>
      <c r="I1994" s="126"/>
      <c r="J1994" s="23"/>
      <c r="K1994" s="207"/>
      <c r="L1994" s="160"/>
    </row>
    <row r="1995" spans="1:12" x14ac:dyDescent="0.2">
      <c r="A1995" s="129" t="str">
        <f>IF(F1995&lt;&gt;"",1+MAX($A$6:B2003),"")</f>
        <v/>
      </c>
      <c r="B1995" s="126"/>
      <c r="C1995" s="120"/>
      <c r="D1995" s="187"/>
      <c r="E1995" s="172" t="s">
        <v>617</v>
      </c>
      <c r="F1995" s="123"/>
      <c r="G1995" s="184"/>
      <c r="H1995" s="125"/>
      <c r="I1995" s="126"/>
      <c r="J1995" s="37"/>
      <c r="K1995" s="159"/>
      <c r="L1995" s="160"/>
    </row>
    <row r="1996" spans="1:12" x14ac:dyDescent="0.2">
      <c r="A1996" s="129">
        <f ca="1">IF(F1996&lt;&gt;"",1+MAX($A$6:B2004),"")</f>
        <v>930</v>
      </c>
      <c r="B1996" s="126" t="s">
        <v>680</v>
      </c>
      <c r="C1996" s="120" t="s">
        <v>459</v>
      </c>
      <c r="D1996" s="186">
        <f>H1996/27*1.5</f>
        <v>65.63333333333334</v>
      </c>
      <c r="E1996" s="122" t="s">
        <v>618</v>
      </c>
      <c r="F1996" s="123">
        <v>1074</v>
      </c>
      <c r="G1996" s="184">
        <v>0.1</v>
      </c>
      <c r="H1996" s="125">
        <f>F1996*(1+G1996)</f>
        <v>1181.4000000000001</v>
      </c>
      <c r="I1996" s="126" t="s">
        <v>18</v>
      </c>
      <c r="J1996" s="37">
        <v>0</v>
      </c>
      <c r="K1996" s="159">
        <f>J1996*H1996</f>
        <v>0</v>
      </c>
      <c r="L1996" s="160"/>
    </row>
    <row r="1997" spans="1:12" x14ac:dyDescent="0.2">
      <c r="A1997" s="129">
        <f ca="1">IF(F1997&lt;&gt;"",1+MAX($A$6:B2005),"")</f>
        <v>931</v>
      </c>
      <c r="B1997" s="126" t="s">
        <v>680</v>
      </c>
      <c r="C1997" s="120" t="s">
        <v>459</v>
      </c>
      <c r="D1997" s="187"/>
      <c r="E1997" s="122" t="s">
        <v>619</v>
      </c>
      <c r="F1997" s="123">
        <v>131</v>
      </c>
      <c r="G1997" s="184">
        <v>0.1</v>
      </c>
      <c r="H1997" s="125">
        <f t="shared" ref="H1997:H2000" si="342">F1997*(1+G1997)</f>
        <v>144.10000000000002</v>
      </c>
      <c r="I1997" s="126" t="s">
        <v>15</v>
      </c>
      <c r="J1997" s="37">
        <f>K$359</f>
        <v>0</v>
      </c>
      <c r="K1997" s="159">
        <f t="shared" ref="K1997:K2000" si="343">J1997*H1997</f>
        <v>0</v>
      </c>
      <c r="L1997" s="160"/>
    </row>
    <row r="1998" spans="1:12" x14ac:dyDescent="0.2">
      <c r="A1998" s="129">
        <f ca="1">IF(F1998&lt;&gt;"",1+MAX($A$6:B2006),"")</f>
        <v>932</v>
      </c>
      <c r="B1998" s="126" t="s">
        <v>680</v>
      </c>
      <c r="C1998" s="120" t="s">
        <v>459</v>
      </c>
      <c r="D1998" s="187"/>
      <c r="E1998" s="122" t="s">
        <v>613</v>
      </c>
      <c r="F1998" s="123">
        <v>1074</v>
      </c>
      <c r="G1998" s="184">
        <v>0.1</v>
      </c>
      <c r="H1998" s="125">
        <f t="shared" si="342"/>
        <v>1181.4000000000001</v>
      </c>
      <c r="I1998" s="126" t="s">
        <v>18</v>
      </c>
      <c r="J1998" s="37">
        <f>$J$348</f>
        <v>0</v>
      </c>
      <c r="K1998" s="159">
        <f t="shared" si="343"/>
        <v>0</v>
      </c>
      <c r="L1998" s="160"/>
    </row>
    <row r="1999" spans="1:12" x14ac:dyDescent="0.2">
      <c r="A1999" s="129">
        <f ca="1">IF(F1999&lt;&gt;"",1+MAX($A$6:B2007),"")</f>
        <v>933</v>
      </c>
      <c r="B1999" s="126" t="s">
        <v>680</v>
      </c>
      <c r="C1999" s="120" t="s">
        <v>459</v>
      </c>
      <c r="D1999" s="187"/>
      <c r="E1999" s="122" t="s">
        <v>591</v>
      </c>
      <c r="F1999" s="123">
        <f>0.16*F1998</f>
        <v>171.84</v>
      </c>
      <c r="G1999" s="184">
        <v>0.1</v>
      </c>
      <c r="H1999" s="125">
        <f t="shared" si="342"/>
        <v>189.02400000000003</v>
      </c>
      <c r="I1999" s="126" t="s">
        <v>15</v>
      </c>
      <c r="J1999" s="37">
        <f>$J$321</f>
        <v>0</v>
      </c>
      <c r="K1999" s="159">
        <f t="shared" si="343"/>
        <v>0</v>
      </c>
      <c r="L1999" s="160"/>
    </row>
    <row r="2000" spans="1:12" x14ac:dyDescent="0.2">
      <c r="A2000" s="129">
        <f ca="1">IF(F2000&lt;&gt;"",1+MAX($A$6:B2008),"")</f>
        <v>934</v>
      </c>
      <c r="B2000" s="126" t="s">
        <v>680</v>
      </c>
      <c r="C2000" s="208" t="s">
        <v>302</v>
      </c>
      <c r="D2000" s="120"/>
      <c r="E2000" s="122" t="s">
        <v>681</v>
      </c>
      <c r="F2000" s="123">
        <f>1.5*1.2*2*2*F1996/1.5</f>
        <v>5155.2</v>
      </c>
      <c r="G2000" s="184">
        <v>0.1</v>
      </c>
      <c r="H2000" s="125">
        <f t="shared" si="342"/>
        <v>5670.72</v>
      </c>
      <c r="I2000" s="126" t="s">
        <v>292</v>
      </c>
      <c r="J2000" s="37">
        <f>$J$15</f>
        <v>0</v>
      </c>
      <c r="K2000" s="159">
        <f t="shared" si="343"/>
        <v>0</v>
      </c>
      <c r="L2000" s="160"/>
    </row>
    <row r="2001" spans="1:12" x14ac:dyDescent="0.2">
      <c r="A2001" s="129" t="str">
        <f>IF(F2001&lt;&gt;"",1+MAX($A$6:B2009),"")</f>
        <v/>
      </c>
      <c r="B2001" s="126"/>
      <c r="C2001" s="120"/>
      <c r="D2001" s="187"/>
      <c r="E2001" s="172" t="s">
        <v>620</v>
      </c>
      <c r="F2001" s="123"/>
      <c r="G2001" s="184"/>
      <c r="H2001" s="125"/>
      <c r="I2001" s="126"/>
      <c r="J2001" s="37"/>
      <c r="K2001" s="159"/>
      <c r="L2001" s="160"/>
    </row>
    <row r="2002" spans="1:12" x14ac:dyDescent="0.2">
      <c r="A2002" s="129">
        <f ca="1">IF(F2002&lt;&gt;"",1+MAX($A$6:B2010),"")</f>
        <v>935</v>
      </c>
      <c r="B2002" s="126" t="s">
        <v>680</v>
      </c>
      <c r="C2002" s="120" t="s">
        <v>459</v>
      </c>
      <c r="D2002" s="186">
        <f>H2002/27</f>
        <v>554.07407407407413</v>
      </c>
      <c r="E2002" s="122" t="s">
        <v>621</v>
      </c>
      <c r="F2002" s="123">
        <v>13600</v>
      </c>
      <c r="G2002" s="184">
        <v>0.1</v>
      </c>
      <c r="H2002" s="125">
        <f>F2002*(1+G2002)</f>
        <v>14960.000000000002</v>
      </c>
      <c r="I2002" s="126" t="s">
        <v>18</v>
      </c>
      <c r="J2002" s="37">
        <v>0</v>
      </c>
      <c r="K2002" s="159">
        <f>J2002*H2002</f>
        <v>0</v>
      </c>
      <c r="L2002" s="160"/>
    </row>
    <row r="2003" spans="1:12" x14ac:dyDescent="0.2">
      <c r="A2003" s="129">
        <f ca="1">IF(F2003&lt;&gt;"",1+MAX($A$6:B2011),"")</f>
        <v>936</v>
      </c>
      <c r="B2003" s="126" t="s">
        <v>680</v>
      </c>
      <c r="C2003" s="120" t="s">
        <v>459</v>
      </c>
      <c r="D2003" s="120"/>
      <c r="E2003" s="122" t="s">
        <v>622</v>
      </c>
      <c r="F2003" s="123">
        <v>554</v>
      </c>
      <c r="G2003" s="184">
        <v>0.1</v>
      </c>
      <c r="H2003" s="125">
        <f t="shared" ref="H2003:H2007" si="344">F2003*(1+G2003)</f>
        <v>609.40000000000009</v>
      </c>
      <c r="I2003" s="126" t="s">
        <v>15</v>
      </c>
      <c r="J2003" s="37">
        <f>$J$347</f>
        <v>0</v>
      </c>
      <c r="K2003" s="159">
        <f t="shared" ref="K2003:K2007" si="345">J2003*H2003</f>
        <v>0</v>
      </c>
      <c r="L2003" s="160"/>
    </row>
    <row r="2004" spans="1:12" x14ac:dyDescent="0.2">
      <c r="A2004" s="129">
        <f ca="1">IF(F2004&lt;&gt;"",1+MAX($A$6:B2012),"")</f>
        <v>937</v>
      </c>
      <c r="B2004" s="126" t="s">
        <v>680</v>
      </c>
      <c r="C2004" s="120" t="s">
        <v>459</v>
      </c>
      <c r="D2004" s="120"/>
      <c r="E2004" s="122" t="s">
        <v>613</v>
      </c>
      <c r="F2004" s="123">
        <v>13600</v>
      </c>
      <c r="G2004" s="184">
        <v>0.1</v>
      </c>
      <c r="H2004" s="125">
        <f t="shared" si="344"/>
        <v>14960.000000000002</v>
      </c>
      <c r="I2004" s="126" t="s">
        <v>18</v>
      </c>
      <c r="J2004" s="37">
        <f>$J$348</f>
        <v>0</v>
      </c>
      <c r="K2004" s="159">
        <f t="shared" si="345"/>
        <v>0</v>
      </c>
      <c r="L2004" s="160"/>
    </row>
    <row r="2005" spans="1:12" x14ac:dyDescent="0.2">
      <c r="A2005" s="129">
        <f ca="1">IF(F2005&lt;&gt;"",1+MAX($A$6:B2013),"")</f>
        <v>938</v>
      </c>
      <c r="B2005" s="126" t="s">
        <v>680</v>
      </c>
      <c r="C2005" s="120" t="s">
        <v>459</v>
      </c>
      <c r="D2005" s="120"/>
      <c r="E2005" s="122" t="s">
        <v>591</v>
      </c>
      <c r="F2005" s="123">
        <f>0.16*F2004</f>
        <v>2176</v>
      </c>
      <c r="G2005" s="184">
        <v>0.1</v>
      </c>
      <c r="H2005" s="125">
        <f t="shared" si="344"/>
        <v>2393.6000000000004</v>
      </c>
      <c r="I2005" s="126" t="s">
        <v>15</v>
      </c>
      <c r="J2005" s="37">
        <f>$J$321</f>
        <v>0</v>
      </c>
      <c r="K2005" s="159">
        <f t="shared" si="345"/>
        <v>0</v>
      </c>
      <c r="L2005" s="160"/>
    </row>
    <row r="2006" spans="1:12" x14ac:dyDescent="0.2">
      <c r="A2006" s="129">
        <f ca="1">IF(F2006&lt;&gt;"",1+MAX($A$6:B2014),"")</f>
        <v>939</v>
      </c>
      <c r="B2006" s="126" t="s">
        <v>680</v>
      </c>
      <c r="C2006" s="120" t="s">
        <v>459</v>
      </c>
      <c r="D2006" s="120"/>
      <c r="E2006" s="122" t="s">
        <v>681</v>
      </c>
      <c r="F2006" s="123">
        <f>1.5*1.2*2*2*F2002/1.5</f>
        <v>65279.999999999993</v>
      </c>
      <c r="G2006" s="184">
        <v>0.1</v>
      </c>
      <c r="H2006" s="125">
        <f t="shared" si="344"/>
        <v>71808</v>
      </c>
      <c r="I2006" s="126" t="s">
        <v>292</v>
      </c>
      <c r="J2006" s="37">
        <f t="shared" ref="J2006:J2007" si="346">$J$15</f>
        <v>0</v>
      </c>
      <c r="K2006" s="159">
        <f t="shared" si="345"/>
        <v>0</v>
      </c>
      <c r="L2006" s="160"/>
    </row>
    <row r="2007" spans="1:12" x14ac:dyDescent="0.2">
      <c r="A2007" s="129">
        <f ca="1">IF(F2007&lt;&gt;"",1+MAX($A$6:B2015),"")</f>
        <v>940</v>
      </c>
      <c r="B2007" s="126" t="s">
        <v>680</v>
      </c>
      <c r="C2007" s="120" t="s">
        <v>623</v>
      </c>
      <c r="D2007" s="120"/>
      <c r="E2007" s="122" t="s">
        <v>682</v>
      </c>
      <c r="F2007" s="123">
        <f>62/1.5*1.5*0.376*1.2</f>
        <v>27.974399999999999</v>
      </c>
      <c r="G2007" s="184">
        <v>0.1</v>
      </c>
      <c r="H2007" s="125">
        <f t="shared" si="344"/>
        <v>30.771840000000001</v>
      </c>
      <c r="I2007" s="126" t="s">
        <v>292</v>
      </c>
      <c r="J2007" s="37">
        <f t="shared" si="346"/>
        <v>0</v>
      </c>
      <c r="K2007" s="159">
        <f t="shared" si="345"/>
        <v>0</v>
      </c>
      <c r="L2007" s="160"/>
    </row>
    <row r="2008" spans="1:12" x14ac:dyDescent="0.2">
      <c r="A2008" s="129" t="str">
        <f>IF(F2008&lt;&gt;"",1+MAX($A$6:B2016),"")</f>
        <v/>
      </c>
      <c r="B2008" s="126"/>
      <c r="C2008" s="120"/>
      <c r="D2008" s="120"/>
      <c r="E2008" s="122"/>
      <c r="F2008" s="123"/>
      <c r="G2008" s="184"/>
      <c r="H2008" s="125"/>
      <c r="I2008" s="126"/>
      <c r="J2008" s="37"/>
      <c r="K2008" s="159"/>
      <c r="L2008" s="160"/>
    </row>
    <row r="2009" spans="1:12" x14ac:dyDescent="0.2">
      <c r="A2009" s="129" t="str">
        <f>IF(F2009&lt;&gt;"",1+MAX($A$6:B2017),"")</f>
        <v/>
      </c>
      <c r="B2009" s="126"/>
      <c r="C2009" s="120"/>
      <c r="D2009" s="120"/>
      <c r="E2009" s="172" t="s">
        <v>651</v>
      </c>
      <c r="F2009" s="123"/>
      <c r="G2009" s="184"/>
      <c r="H2009" s="125"/>
      <c r="I2009" s="126"/>
      <c r="J2009" s="23"/>
      <c r="K2009" s="207"/>
      <c r="L2009" s="160"/>
    </row>
    <row r="2010" spans="1:12" x14ac:dyDescent="0.2">
      <c r="A2010" s="129">
        <f ca="1">IF(F2010&lt;&gt;"",1+MAX($A$6:B2018),"")</f>
        <v>941</v>
      </c>
      <c r="B2010" s="126" t="s">
        <v>680</v>
      </c>
      <c r="C2010" s="120" t="s">
        <v>459</v>
      </c>
      <c r="D2010" s="120"/>
      <c r="E2010" s="122" t="s">
        <v>652</v>
      </c>
      <c r="F2010" s="123">
        <v>273</v>
      </c>
      <c r="G2010" s="184">
        <v>0.1</v>
      </c>
      <c r="H2010" s="125">
        <f>F2010*(1+G2010)</f>
        <v>300.3</v>
      </c>
      <c r="I2010" s="126" t="s">
        <v>15</v>
      </c>
      <c r="J2010" s="37">
        <f>$J$405</f>
        <v>0</v>
      </c>
      <c r="K2010" s="159">
        <f>J2010*H2010</f>
        <v>0</v>
      </c>
      <c r="L2010" s="160"/>
    </row>
    <row r="2011" spans="1:12" x14ac:dyDescent="0.2">
      <c r="A2011" s="129" t="str">
        <f>IF(F2011&lt;&gt;"",1+MAX($A$6:B2019),"")</f>
        <v/>
      </c>
      <c r="B2011" s="126"/>
      <c r="C2011" s="120"/>
      <c r="D2011" s="120"/>
      <c r="E2011" s="122"/>
      <c r="F2011" s="123"/>
      <c r="G2011" s="184"/>
      <c r="H2011" s="125"/>
      <c r="I2011" s="126"/>
      <c r="J2011" s="37"/>
      <c r="K2011" s="159"/>
      <c r="L2011" s="160"/>
    </row>
    <row r="2012" spans="1:12" x14ac:dyDescent="0.2">
      <c r="A2012" s="129" t="str">
        <f>IF(F2012&lt;&gt;"",1+MAX($A$6:B2020),"")</f>
        <v/>
      </c>
      <c r="B2012" s="126"/>
      <c r="C2012" s="120"/>
      <c r="D2012" s="120"/>
      <c r="E2012" s="172" t="s">
        <v>683</v>
      </c>
      <c r="F2012" s="123"/>
      <c r="G2012" s="184"/>
      <c r="H2012" s="125"/>
      <c r="I2012" s="126"/>
      <c r="J2012" s="23"/>
      <c r="K2012" s="207"/>
      <c r="L2012" s="160"/>
    </row>
    <row r="2013" spans="1:12" ht="31.5" x14ac:dyDescent="0.2">
      <c r="A2013" s="129">
        <f ca="1">IF(F2013&lt;&gt;"",1+MAX($A$6:B2021),"")</f>
        <v>942</v>
      </c>
      <c r="B2013" s="126" t="s">
        <v>684</v>
      </c>
      <c r="C2013" s="120" t="s">
        <v>459</v>
      </c>
      <c r="D2013" s="120"/>
      <c r="E2013" s="122" t="s">
        <v>627</v>
      </c>
      <c r="F2013" s="123">
        <v>18789</v>
      </c>
      <c r="G2013" s="184">
        <v>0.1</v>
      </c>
      <c r="H2013" s="125">
        <f t="shared" ref="H2013:H2016" si="347">F2013*(1+G2013)</f>
        <v>20667.900000000001</v>
      </c>
      <c r="I2013" s="126" t="s">
        <v>292</v>
      </c>
      <c r="J2013" s="37">
        <f t="shared" ref="J2013:J2016" si="348">$J$15</f>
        <v>0</v>
      </c>
      <c r="K2013" s="159">
        <f t="shared" ref="K2013:K2016" si="349">J2013*H2013</f>
        <v>0</v>
      </c>
      <c r="L2013" s="160"/>
    </row>
    <row r="2014" spans="1:12" x14ac:dyDescent="0.2">
      <c r="A2014" s="129">
        <f ca="1">IF(F2014&lt;&gt;"",1+MAX($A$6:B2022),"")</f>
        <v>943</v>
      </c>
      <c r="B2014" s="126" t="str">
        <f>B2013</f>
        <v>S4.1-2</v>
      </c>
      <c r="C2014" s="120" t="s">
        <v>628</v>
      </c>
      <c r="D2014" s="120"/>
      <c r="E2014" s="122" t="s">
        <v>629</v>
      </c>
      <c r="F2014" s="123">
        <f>554*2*1.5*1.2*2</f>
        <v>3988.7999999999997</v>
      </c>
      <c r="G2014" s="184">
        <v>0.1</v>
      </c>
      <c r="H2014" s="125">
        <f t="shared" si="347"/>
        <v>4387.68</v>
      </c>
      <c r="I2014" s="126" t="s">
        <v>292</v>
      </c>
      <c r="J2014" s="37">
        <f t="shared" si="348"/>
        <v>0</v>
      </c>
      <c r="K2014" s="159">
        <f t="shared" si="349"/>
        <v>0</v>
      </c>
      <c r="L2014" s="160"/>
    </row>
    <row r="2015" spans="1:12" x14ac:dyDescent="0.2">
      <c r="A2015" s="129">
        <f ca="1">IF(F2015&lt;&gt;"",1+MAX($A$6:B2023),"")</f>
        <v>944</v>
      </c>
      <c r="B2015" s="126" t="str">
        <f>B2014</f>
        <v>S4.1-2</v>
      </c>
      <c r="C2015" s="120" t="s">
        <v>628</v>
      </c>
      <c r="D2015" s="120"/>
      <c r="E2015" s="122" t="s">
        <v>685</v>
      </c>
      <c r="F2015" s="123">
        <f>554/0.75*2.2*0.376*1.2</f>
        <v>733.23007999999993</v>
      </c>
      <c r="G2015" s="184">
        <v>0.1</v>
      </c>
      <c r="H2015" s="125">
        <f t="shared" si="347"/>
        <v>806.553088</v>
      </c>
      <c r="I2015" s="126" t="s">
        <v>292</v>
      </c>
      <c r="J2015" s="37">
        <f t="shared" si="348"/>
        <v>0</v>
      </c>
      <c r="K2015" s="159">
        <f t="shared" si="349"/>
        <v>0</v>
      </c>
      <c r="L2015" s="160"/>
    </row>
    <row r="2016" spans="1:12" x14ac:dyDescent="0.2">
      <c r="A2016" s="129">
        <f ca="1">IF(F2016&lt;&gt;"",1+MAX($A$6:B2024),"")</f>
        <v>945</v>
      </c>
      <c r="B2016" s="126" t="str">
        <f>B2015</f>
        <v>S4.1-2</v>
      </c>
      <c r="C2016" s="120" t="s">
        <v>631</v>
      </c>
      <c r="D2016" s="120"/>
      <c r="E2016" s="122" t="s">
        <v>632</v>
      </c>
      <c r="F2016" s="123">
        <f>470/1.33*3.5*0.668*1.2</f>
        <v>991.45263157894749</v>
      </c>
      <c r="G2016" s="184">
        <v>0.1</v>
      </c>
      <c r="H2016" s="125">
        <f t="shared" si="347"/>
        <v>1090.5978947368424</v>
      </c>
      <c r="I2016" s="126" t="s">
        <v>292</v>
      </c>
      <c r="J2016" s="37">
        <f t="shared" si="348"/>
        <v>0</v>
      </c>
      <c r="K2016" s="159">
        <f t="shared" si="349"/>
        <v>0</v>
      </c>
      <c r="L2016" s="160"/>
    </row>
    <row r="2017" spans="1:12" x14ac:dyDescent="0.2">
      <c r="A2017" s="129" t="str">
        <f>IF(F2017&lt;&gt;"",1+MAX($A$6:B2025),"")</f>
        <v/>
      </c>
      <c r="B2017" s="126"/>
      <c r="C2017" s="120"/>
      <c r="D2017" s="120"/>
      <c r="E2017" s="122"/>
      <c r="F2017" s="123"/>
      <c r="G2017" s="184"/>
      <c r="H2017" s="125"/>
      <c r="I2017" s="126"/>
      <c r="J2017" s="37"/>
      <c r="K2017" s="159"/>
      <c r="L2017" s="160"/>
    </row>
    <row r="2018" spans="1:12" x14ac:dyDescent="0.2">
      <c r="A2018" s="129" t="str">
        <f>IF(F2018&lt;&gt;"",1+MAX($A$6:B2026),"")</f>
        <v/>
      </c>
      <c r="B2018" s="126"/>
      <c r="C2018" s="120"/>
      <c r="D2018" s="120"/>
      <c r="E2018" s="172" t="s">
        <v>637</v>
      </c>
      <c r="F2018" s="123"/>
      <c r="G2018" s="184"/>
      <c r="H2018" s="125"/>
      <c r="I2018" s="126"/>
      <c r="J2018" s="23"/>
      <c r="K2018" s="207"/>
      <c r="L2018" s="160"/>
    </row>
    <row r="2019" spans="1:12" ht="63" x14ac:dyDescent="0.2">
      <c r="A2019" s="129" t="str">
        <f>IF(F2019&lt;&gt;"",1+MAX($A$6:B2027),"")</f>
        <v/>
      </c>
      <c r="B2019" s="126"/>
      <c r="C2019" s="120"/>
      <c r="D2019" s="120"/>
      <c r="E2019" s="172" t="s">
        <v>686</v>
      </c>
      <c r="F2019" s="123"/>
      <c r="G2019" s="184"/>
      <c r="H2019" s="125"/>
      <c r="I2019" s="126"/>
      <c r="J2019" s="37"/>
      <c r="K2019" s="159"/>
      <c r="L2019" s="160"/>
    </row>
    <row r="2020" spans="1:12" x14ac:dyDescent="0.2">
      <c r="A2020" s="129">
        <f ca="1">IF(F2020&lt;&gt;"",1+MAX($A$6:B2028),"")</f>
        <v>946</v>
      </c>
      <c r="B2020" s="126" t="s">
        <v>680</v>
      </c>
      <c r="C2020" s="120" t="s">
        <v>519</v>
      </c>
      <c r="D2020" s="120"/>
      <c r="E2020" s="122" t="s">
        <v>460</v>
      </c>
      <c r="F2020" s="209">
        <f>45*0.83*2/27</f>
        <v>2.7666666666666666</v>
      </c>
      <c r="G2020" s="184">
        <v>0.1</v>
      </c>
      <c r="H2020" s="188">
        <f>F2020*(1+G2020)</f>
        <v>3.0433333333333334</v>
      </c>
      <c r="I2020" s="126" t="s">
        <v>461</v>
      </c>
      <c r="J2020" s="37">
        <f>$J$11</f>
        <v>0</v>
      </c>
      <c r="K2020" s="159">
        <f>J2020*H2020</f>
        <v>0</v>
      </c>
      <c r="L2020" s="160"/>
    </row>
    <row r="2021" spans="1:12" x14ac:dyDescent="0.2">
      <c r="A2021" s="129">
        <f ca="1">IF(F2021&lt;&gt;"",1+MAX($A$6:B2029),"")</f>
        <v>947</v>
      </c>
      <c r="B2021" s="126" t="s">
        <v>680</v>
      </c>
      <c r="C2021" s="120" t="s">
        <v>519</v>
      </c>
      <c r="D2021" s="120"/>
      <c r="E2021" s="122" t="s">
        <v>639</v>
      </c>
      <c r="F2021" s="123">
        <f>45*2*2</f>
        <v>180</v>
      </c>
      <c r="G2021" s="184">
        <v>0.1</v>
      </c>
      <c r="H2021" s="125">
        <f>F2021*(1+G2021)</f>
        <v>198.00000000000003</v>
      </c>
      <c r="I2021" s="126" t="s">
        <v>463</v>
      </c>
      <c r="J2021" s="37">
        <f>K$385</f>
        <v>0</v>
      </c>
      <c r="K2021" s="159">
        <f>J2021*H2021</f>
        <v>0</v>
      </c>
      <c r="L2021" s="160"/>
    </row>
    <row r="2022" spans="1:12" x14ac:dyDescent="0.2">
      <c r="A2022" s="129">
        <f ca="1">IF(F2022&lt;&gt;"",1+MAX($A$6:B2030),"")</f>
        <v>948</v>
      </c>
      <c r="B2022" s="126" t="s">
        <v>680</v>
      </c>
      <c r="C2022" s="120" t="s">
        <v>519</v>
      </c>
      <c r="D2022" s="120"/>
      <c r="E2022" s="122" t="s">
        <v>629</v>
      </c>
      <c r="F2022" s="123">
        <f>2*45*1.5*1.2</f>
        <v>162</v>
      </c>
      <c r="G2022" s="184">
        <v>0.1</v>
      </c>
      <c r="H2022" s="125">
        <f>F2022*(1+G2022)</f>
        <v>178.20000000000002</v>
      </c>
      <c r="I2022" s="126" t="s">
        <v>292</v>
      </c>
      <c r="J2022" s="37">
        <f t="shared" ref="J2022:J2024" si="350">$J$15</f>
        <v>0</v>
      </c>
      <c r="K2022" s="159">
        <f>J2022*H2022</f>
        <v>0</v>
      </c>
      <c r="L2022" s="160"/>
    </row>
    <row r="2023" spans="1:12" x14ac:dyDescent="0.2">
      <c r="A2023" s="129">
        <f ca="1">IF(F2023&lt;&gt;"",1+MAX($A$6:B2031),"")</f>
        <v>949</v>
      </c>
      <c r="B2023" s="126" t="s">
        <v>680</v>
      </c>
      <c r="C2023" s="120" t="s">
        <v>519</v>
      </c>
      <c r="D2023" s="120"/>
      <c r="E2023" s="122" t="s">
        <v>687</v>
      </c>
      <c r="F2023" s="123">
        <f>2*45*2.67*1.2</f>
        <v>288.35999999999996</v>
      </c>
      <c r="G2023" s="184">
        <v>0.1</v>
      </c>
      <c r="H2023" s="125">
        <f>F2023*(1+G2023)</f>
        <v>317.19599999999997</v>
      </c>
      <c r="I2023" s="126" t="s">
        <v>292</v>
      </c>
      <c r="J2023" s="37">
        <f t="shared" si="350"/>
        <v>0</v>
      </c>
      <c r="K2023" s="159">
        <f>J2023*H2023</f>
        <v>0</v>
      </c>
      <c r="L2023" s="160"/>
    </row>
    <row r="2024" spans="1:12" x14ac:dyDescent="0.2">
      <c r="A2024" s="129">
        <f ca="1">IF(F2024&lt;&gt;"",1+MAX($A$6:B2032),"")</f>
        <v>950</v>
      </c>
      <c r="B2024" s="126" t="s">
        <v>680</v>
      </c>
      <c r="C2024" s="120" t="s">
        <v>519</v>
      </c>
      <c r="D2024" s="120"/>
      <c r="E2024" s="122" t="s">
        <v>688</v>
      </c>
      <c r="F2024" s="123">
        <f>45/0.5*(2*0.83+2*2+0.5)*0.668*1.2</f>
        <v>444.40703999999999</v>
      </c>
      <c r="G2024" s="184">
        <v>0.1</v>
      </c>
      <c r="H2024" s="125">
        <f>F2024*(1+G2024)</f>
        <v>488.84774400000003</v>
      </c>
      <c r="I2024" s="126" t="s">
        <v>292</v>
      </c>
      <c r="J2024" s="37">
        <f t="shared" si="350"/>
        <v>0</v>
      </c>
      <c r="K2024" s="159">
        <f>J2024*H2024</f>
        <v>0</v>
      </c>
      <c r="L2024" s="160"/>
    </row>
    <row r="2025" spans="1:12" ht="63" x14ac:dyDescent="0.2">
      <c r="A2025" s="129" t="str">
        <f>IF(F2025&lt;&gt;"",1+MAX($A$6:B2033),"")</f>
        <v/>
      </c>
      <c r="B2025" s="126"/>
      <c r="C2025" s="120"/>
      <c r="D2025" s="120"/>
      <c r="E2025" s="172" t="s">
        <v>689</v>
      </c>
      <c r="F2025" s="123"/>
      <c r="G2025" s="184"/>
      <c r="H2025" s="125"/>
      <c r="I2025" s="126"/>
      <c r="J2025" s="37"/>
      <c r="K2025" s="159"/>
      <c r="L2025" s="160"/>
    </row>
    <row r="2026" spans="1:12" x14ac:dyDescent="0.2">
      <c r="A2026" s="129">
        <f ca="1">IF(F2026&lt;&gt;"",1+MAX($A$6:B2034),"")</f>
        <v>951</v>
      </c>
      <c r="B2026" s="126" t="s">
        <v>680</v>
      </c>
      <c r="C2026" s="120" t="s">
        <v>519</v>
      </c>
      <c r="D2026" s="120"/>
      <c r="E2026" s="122" t="s">
        <v>460</v>
      </c>
      <c r="F2026" s="209">
        <f>14*1*2/27</f>
        <v>1.037037037037037</v>
      </c>
      <c r="G2026" s="184">
        <v>0.1</v>
      </c>
      <c r="H2026" s="188">
        <f>F2026*(1+G2026)</f>
        <v>1.1407407407407408</v>
      </c>
      <c r="I2026" s="126" t="s">
        <v>461</v>
      </c>
      <c r="J2026" s="37">
        <f>$J$11</f>
        <v>0</v>
      </c>
      <c r="K2026" s="159">
        <f>J2026*H2026</f>
        <v>0</v>
      </c>
      <c r="L2026" s="160"/>
    </row>
    <row r="2027" spans="1:12" x14ac:dyDescent="0.2">
      <c r="A2027" s="129">
        <f ca="1">IF(F2027&lt;&gt;"",1+MAX($A$6:B2035),"")</f>
        <v>952</v>
      </c>
      <c r="B2027" s="126" t="s">
        <v>680</v>
      </c>
      <c r="C2027" s="120" t="s">
        <v>519</v>
      </c>
      <c r="D2027" s="120"/>
      <c r="E2027" s="122" t="s">
        <v>639</v>
      </c>
      <c r="F2027" s="123">
        <f>14*2*2</f>
        <v>56</v>
      </c>
      <c r="G2027" s="184">
        <v>0.1</v>
      </c>
      <c r="H2027" s="125">
        <f>F2027*(1+G2027)</f>
        <v>61.600000000000009</v>
      </c>
      <c r="I2027" s="126" t="s">
        <v>463</v>
      </c>
      <c r="J2027" s="37">
        <f>K$385</f>
        <v>0</v>
      </c>
      <c r="K2027" s="159">
        <f>J2027*H2027</f>
        <v>0</v>
      </c>
      <c r="L2027" s="160"/>
    </row>
    <row r="2028" spans="1:12" x14ac:dyDescent="0.2">
      <c r="A2028" s="129">
        <f ca="1">IF(F2028&lt;&gt;"",1+MAX($A$6:B2036),"")</f>
        <v>953</v>
      </c>
      <c r="B2028" s="126" t="s">
        <v>680</v>
      </c>
      <c r="C2028" s="120" t="s">
        <v>519</v>
      </c>
      <c r="D2028" s="120"/>
      <c r="E2028" s="122" t="s">
        <v>690</v>
      </c>
      <c r="F2028" s="123">
        <f>2*14*2.044*1.2</f>
        <v>68.678399999999996</v>
      </c>
      <c r="G2028" s="184">
        <v>0.1</v>
      </c>
      <c r="H2028" s="125">
        <f>F2028*(1+G2028)</f>
        <v>75.546239999999997</v>
      </c>
      <c r="I2028" s="126" t="s">
        <v>292</v>
      </c>
      <c r="J2028" s="37">
        <f t="shared" ref="J2028:J2030" si="351">$J$15</f>
        <v>0</v>
      </c>
      <c r="K2028" s="159">
        <f>J2028*H2028</f>
        <v>0</v>
      </c>
      <c r="L2028" s="160"/>
    </row>
    <row r="2029" spans="1:12" x14ac:dyDescent="0.2">
      <c r="A2029" s="129">
        <f ca="1">IF(F2029&lt;&gt;"",1+MAX($A$6:B2037),"")</f>
        <v>954</v>
      </c>
      <c r="B2029" s="126" t="s">
        <v>680</v>
      </c>
      <c r="C2029" s="120" t="s">
        <v>519</v>
      </c>
      <c r="D2029" s="120"/>
      <c r="E2029" s="122" t="s">
        <v>687</v>
      </c>
      <c r="F2029" s="123">
        <f>2*14*2.67*1.2</f>
        <v>89.711999999999989</v>
      </c>
      <c r="G2029" s="184">
        <v>0.1</v>
      </c>
      <c r="H2029" s="125">
        <f>F2029*(1+G2029)</f>
        <v>98.683199999999999</v>
      </c>
      <c r="I2029" s="126" t="s">
        <v>292</v>
      </c>
      <c r="J2029" s="37">
        <f t="shared" si="351"/>
        <v>0</v>
      </c>
      <c r="K2029" s="159">
        <f>J2029*H2029</f>
        <v>0</v>
      </c>
      <c r="L2029" s="160"/>
    </row>
    <row r="2030" spans="1:12" x14ac:dyDescent="0.2">
      <c r="A2030" s="129">
        <f ca="1">IF(F2030&lt;&gt;"",1+MAX($A$6:B2038),"")</f>
        <v>955</v>
      </c>
      <c r="B2030" s="126" t="s">
        <v>680</v>
      </c>
      <c r="C2030" s="120" t="s">
        <v>519</v>
      </c>
      <c r="D2030" s="120"/>
      <c r="E2030" s="122" t="s">
        <v>688</v>
      </c>
      <c r="F2030" s="123">
        <f>14/0.5*(2*1+2*2+0.5)*0.668*1.2</f>
        <v>145.8912</v>
      </c>
      <c r="G2030" s="184">
        <v>0.1</v>
      </c>
      <c r="H2030" s="125">
        <f>F2030*(1+G2030)</f>
        <v>160.48032000000001</v>
      </c>
      <c r="I2030" s="126" t="s">
        <v>292</v>
      </c>
      <c r="J2030" s="37">
        <f t="shared" si="351"/>
        <v>0</v>
      </c>
      <c r="K2030" s="159">
        <f>J2030*H2030</f>
        <v>0</v>
      </c>
      <c r="L2030" s="160"/>
    </row>
    <row r="2031" spans="1:12" ht="63" x14ac:dyDescent="0.2">
      <c r="A2031" s="129" t="str">
        <f>IF(F2031&lt;&gt;"",1+MAX($A$6:B2039),"")</f>
        <v/>
      </c>
      <c r="B2031" s="126"/>
      <c r="C2031" s="120"/>
      <c r="D2031" s="120"/>
      <c r="E2031" s="172" t="s">
        <v>691</v>
      </c>
      <c r="F2031" s="123"/>
      <c r="G2031" s="184"/>
      <c r="H2031" s="125"/>
      <c r="I2031" s="126"/>
      <c r="J2031" s="37"/>
      <c r="K2031" s="159"/>
      <c r="L2031" s="160"/>
    </row>
    <row r="2032" spans="1:12" x14ac:dyDescent="0.2">
      <c r="A2032" s="129">
        <f ca="1">IF(F2032&lt;&gt;"",1+MAX($A$6:B2040),"")</f>
        <v>956</v>
      </c>
      <c r="B2032" s="126" t="s">
        <v>680</v>
      </c>
      <c r="C2032" s="120" t="s">
        <v>519</v>
      </c>
      <c r="D2032" s="120"/>
      <c r="E2032" s="122" t="s">
        <v>460</v>
      </c>
      <c r="F2032" s="209">
        <f>22*1*1.67/27</f>
        <v>1.3607407407407406</v>
      </c>
      <c r="G2032" s="184">
        <v>0.1</v>
      </c>
      <c r="H2032" s="188">
        <f>F2032*(1+G2032)</f>
        <v>1.4968148148148148</v>
      </c>
      <c r="I2032" s="126" t="s">
        <v>461</v>
      </c>
      <c r="J2032" s="37">
        <f>$J$11</f>
        <v>0</v>
      </c>
      <c r="K2032" s="159">
        <f>J2032*H2032</f>
        <v>0</v>
      </c>
      <c r="L2032" s="160"/>
    </row>
    <row r="2033" spans="1:12" x14ac:dyDescent="0.2">
      <c r="A2033" s="129">
        <f ca="1">IF(F2033&lt;&gt;"",1+MAX($A$6:B2041),"")</f>
        <v>957</v>
      </c>
      <c r="B2033" s="126" t="s">
        <v>680</v>
      </c>
      <c r="C2033" s="120" t="s">
        <v>519</v>
      </c>
      <c r="D2033" s="120"/>
      <c r="E2033" s="122" t="s">
        <v>639</v>
      </c>
      <c r="F2033" s="123">
        <f>22*1.67*2</f>
        <v>73.47999999999999</v>
      </c>
      <c r="G2033" s="184">
        <v>0.1</v>
      </c>
      <c r="H2033" s="125">
        <f>F2033*(1+G2033)</f>
        <v>80.827999999999989</v>
      </c>
      <c r="I2033" s="126" t="s">
        <v>463</v>
      </c>
      <c r="J2033" s="37">
        <f>K$385</f>
        <v>0</v>
      </c>
      <c r="K2033" s="159">
        <f>J2033*H2033</f>
        <v>0</v>
      </c>
      <c r="L2033" s="160"/>
    </row>
    <row r="2034" spans="1:12" x14ac:dyDescent="0.2">
      <c r="A2034" s="129">
        <f ca="1">IF(F2034&lt;&gt;"",1+MAX($A$6:B2042),"")</f>
        <v>958</v>
      </c>
      <c r="B2034" s="126" t="s">
        <v>680</v>
      </c>
      <c r="C2034" s="120" t="s">
        <v>519</v>
      </c>
      <c r="D2034" s="120"/>
      <c r="E2034" s="122" t="s">
        <v>692</v>
      </c>
      <c r="F2034" s="123">
        <f>2*22*2.67*1.2*2</f>
        <v>281.95199999999994</v>
      </c>
      <c r="G2034" s="184">
        <v>0.1</v>
      </c>
      <c r="H2034" s="125">
        <f>F2034*(1+G2034)</f>
        <v>310.14719999999994</v>
      </c>
      <c r="I2034" s="126" t="s">
        <v>292</v>
      </c>
      <c r="J2034" s="37">
        <f t="shared" ref="J2034:J2035" si="352">$J$15</f>
        <v>0</v>
      </c>
      <c r="K2034" s="159">
        <f>J2034*H2034</f>
        <v>0</v>
      </c>
      <c r="L2034" s="160"/>
    </row>
    <row r="2035" spans="1:12" x14ac:dyDescent="0.2">
      <c r="A2035" s="129">
        <f ca="1">IF(F2035&lt;&gt;"",1+MAX($A$6:B2043),"")</f>
        <v>959</v>
      </c>
      <c r="B2035" s="126" t="s">
        <v>680</v>
      </c>
      <c r="C2035" s="120" t="s">
        <v>519</v>
      </c>
      <c r="D2035" s="120"/>
      <c r="E2035" s="122" t="s">
        <v>688</v>
      </c>
      <c r="F2035" s="123">
        <f>22/0.5*(2*1+2*1.67+0.5)*0.668*1.2</f>
        <v>205.97913600000001</v>
      </c>
      <c r="G2035" s="184">
        <v>0.1</v>
      </c>
      <c r="H2035" s="125">
        <f>F2035*(1+G2035)</f>
        <v>226.57704960000004</v>
      </c>
      <c r="I2035" s="126" t="s">
        <v>292</v>
      </c>
      <c r="J2035" s="37">
        <f t="shared" si="352"/>
        <v>0</v>
      </c>
      <c r="K2035" s="159">
        <f>J2035*H2035</f>
        <v>0</v>
      </c>
      <c r="L2035" s="160"/>
    </row>
    <row r="2036" spans="1:12" ht="63" x14ac:dyDescent="0.2">
      <c r="A2036" s="129" t="str">
        <f>IF(F2036&lt;&gt;"",1+MAX($A$6:B2044),"")</f>
        <v/>
      </c>
      <c r="B2036" s="126"/>
      <c r="C2036" s="120"/>
      <c r="D2036" s="120"/>
      <c r="E2036" s="172" t="s">
        <v>693</v>
      </c>
      <c r="F2036" s="123"/>
      <c r="G2036" s="184"/>
      <c r="H2036" s="125"/>
      <c r="I2036" s="126"/>
      <c r="J2036" s="37"/>
      <c r="K2036" s="159"/>
      <c r="L2036" s="160"/>
    </row>
    <row r="2037" spans="1:12" x14ac:dyDescent="0.2">
      <c r="A2037" s="129">
        <f ca="1">IF(F2037&lt;&gt;"",1+MAX($A$6:B2045),"")</f>
        <v>960</v>
      </c>
      <c r="B2037" s="126" t="s">
        <v>680</v>
      </c>
      <c r="C2037" s="120" t="s">
        <v>519</v>
      </c>
      <c r="D2037" s="120"/>
      <c r="E2037" s="122" t="s">
        <v>460</v>
      </c>
      <c r="F2037" s="209">
        <f>11*1*1.67/27</f>
        <v>0.68037037037037029</v>
      </c>
      <c r="G2037" s="184">
        <v>0.1</v>
      </c>
      <c r="H2037" s="188">
        <f>F2037*(1+G2037)</f>
        <v>0.74840740740740741</v>
      </c>
      <c r="I2037" s="126" t="s">
        <v>461</v>
      </c>
      <c r="J2037" s="37">
        <f>$J$11</f>
        <v>0</v>
      </c>
      <c r="K2037" s="159">
        <f>J2037*H2037</f>
        <v>0</v>
      </c>
      <c r="L2037" s="160"/>
    </row>
    <row r="2038" spans="1:12" x14ac:dyDescent="0.2">
      <c r="A2038" s="129">
        <f ca="1">IF(F2038&lt;&gt;"",1+MAX($A$6:B2046),"")</f>
        <v>961</v>
      </c>
      <c r="B2038" s="126" t="s">
        <v>680</v>
      </c>
      <c r="C2038" s="120" t="s">
        <v>519</v>
      </c>
      <c r="D2038" s="120"/>
      <c r="E2038" s="122" t="s">
        <v>639</v>
      </c>
      <c r="F2038" s="123">
        <f>11*1.67*2</f>
        <v>36.739999999999995</v>
      </c>
      <c r="G2038" s="184">
        <v>0.1</v>
      </c>
      <c r="H2038" s="125">
        <f>F2038*(1+G2038)</f>
        <v>40.413999999999994</v>
      </c>
      <c r="I2038" s="126" t="s">
        <v>463</v>
      </c>
      <c r="J2038" s="37">
        <f>K$385</f>
        <v>0</v>
      </c>
      <c r="K2038" s="159">
        <f>J2038*H2038</f>
        <v>0</v>
      </c>
      <c r="L2038" s="160"/>
    </row>
    <row r="2039" spans="1:12" x14ac:dyDescent="0.2">
      <c r="A2039" s="129">
        <f ca="1">IF(F2039&lt;&gt;"",1+MAX($A$6:B2047),"")</f>
        <v>962</v>
      </c>
      <c r="B2039" s="126" t="s">
        <v>680</v>
      </c>
      <c r="C2039" s="120" t="s">
        <v>519</v>
      </c>
      <c r="D2039" s="120"/>
      <c r="E2039" s="122" t="s">
        <v>694</v>
      </c>
      <c r="F2039" s="123">
        <f>2*11*2.044*1.2+2*11*2.67*1.2</f>
        <v>124.44959999999999</v>
      </c>
      <c r="G2039" s="184">
        <v>0.1</v>
      </c>
      <c r="H2039" s="125">
        <f>F2039*(1+G2039)</f>
        <v>136.89456000000001</v>
      </c>
      <c r="I2039" s="126" t="s">
        <v>292</v>
      </c>
      <c r="J2039" s="37">
        <f t="shared" ref="J2039:J2040" si="353">$J$15</f>
        <v>0</v>
      </c>
      <c r="K2039" s="159">
        <f>J2039*H2039</f>
        <v>0</v>
      </c>
      <c r="L2039" s="160"/>
    </row>
    <row r="2040" spans="1:12" x14ac:dyDescent="0.2">
      <c r="A2040" s="129">
        <f ca="1">IF(F2040&lt;&gt;"",1+MAX($A$6:B2048),"")</f>
        <v>963</v>
      </c>
      <c r="B2040" s="126" t="s">
        <v>680</v>
      </c>
      <c r="C2040" s="120" t="s">
        <v>519</v>
      </c>
      <c r="D2040" s="120"/>
      <c r="E2040" s="122" t="s">
        <v>688</v>
      </c>
      <c r="F2040" s="123">
        <f>11/0.5*(2*1+2*1.67+0.5)*0.668*1.2</f>
        <v>102.98956800000001</v>
      </c>
      <c r="G2040" s="184">
        <v>0.1</v>
      </c>
      <c r="H2040" s="125">
        <f>F2040*(1+G2040)</f>
        <v>113.28852480000002</v>
      </c>
      <c r="I2040" s="126" t="s">
        <v>292</v>
      </c>
      <c r="J2040" s="37">
        <f t="shared" si="353"/>
        <v>0</v>
      </c>
      <c r="K2040" s="159">
        <f>J2040*H2040</f>
        <v>0</v>
      </c>
      <c r="L2040" s="160"/>
    </row>
    <row r="2041" spans="1:12" ht="63" x14ac:dyDescent="0.2">
      <c r="A2041" s="129" t="str">
        <f>IF(F2041&lt;&gt;"",1+MAX($A$6:B2049),"")</f>
        <v/>
      </c>
      <c r="B2041" s="126"/>
      <c r="C2041" s="120"/>
      <c r="D2041" s="120"/>
      <c r="E2041" s="172" t="s">
        <v>695</v>
      </c>
      <c r="F2041" s="123"/>
      <c r="G2041" s="184"/>
      <c r="H2041" s="125"/>
      <c r="I2041" s="126"/>
      <c r="J2041" s="37"/>
      <c r="K2041" s="159"/>
      <c r="L2041" s="160"/>
    </row>
    <row r="2042" spans="1:12" x14ac:dyDescent="0.2">
      <c r="A2042" s="129">
        <f ca="1">IF(F2042&lt;&gt;"",1+MAX($A$6:B2050),"")</f>
        <v>964</v>
      </c>
      <c r="B2042" s="126" t="s">
        <v>680</v>
      </c>
      <c r="C2042" s="120" t="s">
        <v>519</v>
      </c>
      <c r="D2042" s="120"/>
      <c r="E2042" s="122" t="s">
        <v>460</v>
      </c>
      <c r="F2042" s="209">
        <f>27*1*2.5/27</f>
        <v>2.5</v>
      </c>
      <c r="G2042" s="184">
        <v>0.1</v>
      </c>
      <c r="H2042" s="188">
        <f t="shared" ref="H2042:H2047" si="354">F2042*(1+G2042)</f>
        <v>2.75</v>
      </c>
      <c r="I2042" s="126" t="s">
        <v>461</v>
      </c>
      <c r="J2042" s="37">
        <f>$J$11</f>
        <v>0</v>
      </c>
      <c r="K2042" s="159">
        <f t="shared" ref="K2042:K2047" si="355">J2042*H2042</f>
        <v>0</v>
      </c>
      <c r="L2042" s="160"/>
    </row>
    <row r="2043" spans="1:12" x14ac:dyDescent="0.2">
      <c r="A2043" s="129">
        <f ca="1">IF(F2043&lt;&gt;"",1+MAX($A$6:B2051),"")</f>
        <v>965</v>
      </c>
      <c r="B2043" s="126" t="s">
        <v>680</v>
      </c>
      <c r="C2043" s="120" t="s">
        <v>519</v>
      </c>
      <c r="D2043" s="120"/>
      <c r="E2043" s="122" t="s">
        <v>639</v>
      </c>
      <c r="F2043" s="123">
        <f>27*2.5*2</f>
        <v>135</v>
      </c>
      <c r="G2043" s="184">
        <v>0.1</v>
      </c>
      <c r="H2043" s="125">
        <f t="shared" si="354"/>
        <v>148.5</v>
      </c>
      <c r="I2043" s="126" t="s">
        <v>463</v>
      </c>
      <c r="J2043" s="37">
        <f>K$385</f>
        <v>0</v>
      </c>
      <c r="K2043" s="159">
        <f t="shared" si="355"/>
        <v>0</v>
      </c>
      <c r="L2043" s="160"/>
    </row>
    <row r="2044" spans="1:12" x14ac:dyDescent="0.2">
      <c r="A2044" s="129">
        <f ca="1">IF(F2044&lt;&gt;"",1+MAX($A$6:B2052),"")</f>
        <v>966</v>
      </c>
      <c r="B2044" s="126" t="s">
        <v>680</v>
      </c>
      <c r="C2044" s="120" t="s">
        <v>519</v>
      </c>
      <c r="D2044" s="120"/>
      <c r="E2044" s="122" t="s">
        <v>690</v>
      </c>
      <c r="F2044" s="123">
        <f>2*27*2.044*1.2</f>
        <v>132.4512</v>
      </c>
      <c r="G2044" s="184">
        <v>0.1</v>
      </c>
      <c r="H2044" s="125">
        <f t="shared" si="354"/>
        <v>145.69632000000001</v>
      </c>
      <c r="I2044" s="126" t="s">
        <v>292</v>
      </c>
      <c r="J2044" s="37">
        <f t="shared" ref="J2044:J2047" si="356">$J$15</f>
        <v>0</v>
      </c>
      <c r="K2044" s="159">
        <f t="shared" si="355"/>
        <v>0</v>
      </c>
      <c r="L2044" s="160"/>
    </row>
    <row r="2045" spans="1:12" x14ac:dyDescent="0.2">
      <c r="A2045" s="129">
        <f ca="1">IF(F2045&lt;&gt;"",1+MAX($A$6:B2053),"")</f>
        <v>967</v>
      </c>
      <c r="B2045" s="126" t="s">
        <v>680</v>
      </c>
      <c r="C2045" s="120" t="s">
        <v>519</v>
      </c>
      <c r="D2045" s="120"/>
      <c r="E2045" s="122" t="s">
        <v>696</v>
      </c>
      <c r="F2045" s="123">
        <f>3*27*3.4*1.2</f>
        <v>330.47999999999996</v>
      </c>
      <c r="G2045" s="184">
        <v>0.1</v>
      </c>
      <c r="H2045" s="125">
        <f t="shared" si="354"/>
        <v>363.52799999999996</v>
      </c>
      <c r="I2045" s="126" t="s">
        <v>292</v>
      </c>
      <c r="J2045" s="37">
        <f t="shared" si="356"/>
        <v>0</v>
      </c>
      <c r="K2045" s="159">
        <f t="shared" si="355"/>
        <v>0</v>
      </c>
      <c r="L2045" s="160"/>
    </row>
    <row r="2046" spans="1:12" x14ac:dyDescent="0.2">
      <c r="A2046" s="129">
        <f ca="1">IF(F2046&lt;&gt;"",1+MAX($A$6:B2054),"")</f>
        <v>968</v>
      </c>
      <c r="B2046" s="126" t="s">
        <v>680</v>
      </c>
      <c r="C2046" s="120" t="s">
        <v>519</v>
      </c>
      <c r="D2046" s="120"/>
      <c r="E2046" s="122" t="s">
        <v>697</v>
      </c>
      <c r="F2046" s="123">
        <f>2*24*2.67*1.2</f>
        <v>153.792</v>
      </c>
      <c r="G2046" s="184">
        <v>0.1</v>
      </c>
      <c r="H2046" s="125">
        <f t="shared" si="354"/>
        <v>169.17120000000003</v>
      </c>
      <c r="I2046" s="126" t="s">
        <v>292</v>
      </c>
      <c r="J2046" s="37">
        <f t="shared" si="356"/>
        <v>0</v>
      </c>
      <c r="K2046" s="159">
        <f t="shared" si="355"/>
        <v>0</v>
      </c>
      <c r="L2046" s="160"/>
    </row>
    <row r="2047" spans="1:12" x14ac:dyDescent="0.2">
      <c r="A2047" s="129">
        <f ca="1">IF(F2047&lt;&gt;"",1+MAX($A$6:B2055),"")</f>
        <v>969</v>
      </c>
      <c r="B2047" s="126" t="s">
        <v>680</v>
      </c>
      <c r="C2047" s="120" t="s">
        <v>519</v>
      </c>
      <c r="D2047" s="120"/>
      <c r="E2047" s="122" t="s">
        <v>688</v>
      </c>
      <c r="F2047" s="123">
        <f>27/0.5*(2*1+2*2.5+0.5)*0.668*1.2</f>
        <v>324.64800000000002</v>
      </c>
      <c r="G2047" s="184">
        <v>0.1</v>
      </c>
      <c r="H2047" s="125">
        <f t="shared" si="354"/>
        <v>357.11280000000005</v>
      </c>
      <c r="I2047" s="126" t="s">
        <v>292</v>
      </c>
      <c r="J2047" s="37">
        <f t="shared" si="356"/>
        <v>0</v>
      </c>
      <c r="K2047" s="159">
        <f t="shared" si="355"/>
        <v>0</v>
      </c>
      <c r="L2047" s="160"/>
    </row>
    <row r="2048" spans="1:12" ht="63" x14ac:dyDescent="0.2">
      <c r="A2048" s="129" t="str">
        <f>IF(F2048&lt;&gt;"",1+MAX($A$6:B2056),"")</f>
        <v/>
      </c>
      <c r="B2048" s="126"/>
      <c r="C2048" s="120"/>
      <c r="D2048" s="120"/>
      <c r="E2048" s="172" t="s">
        <v>698</v>
      </c>
      <c r="F2048" s="123"/>
      <c r="G2048" s="184"/>
      <c r="H2048" s="125"/>
      <c r="I2048" s="126"/>
      <c r="J2048" s="37"/>
      <c r="K2048" s="159"/>
      <c r="L2048" s="160"/>
    </row>
    <row r="2049" spans="1:12" x14ac:dyDescent="0.2">
      <c r="A2049" s="129">
        <f ca="1">IF(F2049&lt;&gt;"",1+MAX($A$6:B2057),"")</f>
        <v>970</v>
      </c>
      <c r="B2049" s="126" t="s">
        <v>680</v>
      </c>
      <c r="C2049" s="120" t="s">
        <v>519</v>
      </c>
      <c r="D2049" s="120"/>
      <c r="E2049" s="122" t="s">
        <v>460</v>
      </c>
      <c r="F2049" s="209">
        <f>22*1*2.5/22</f>
        <v>2.5</v>
      </c>
      <c r="G2049" s="184">
        <v>0.1</v>
      </c>
      <c r="H2049" s="188">
        <f t="shared" ref="H2049:H2054" si="357">F2049*(1+G2049)</f>
        <v>2.75</v>
      </c>
      <c r="I2049" s="126" t="s">
        <v>461</v>
      </c>
      <c r="J2049" s="37">
        <f>$J$11</f>
        <v>0</v>
      </c>
      <c r="K2049" s="159">
        <f t="shared" ref="K2049:K2054" si="358">J2049*H2049</f>
        <v>0</v>
      </c>
      <c r="L2049" s="160"/>
    </row>
    <row r="2050" spans="1:12" x14ac:dyDescent="0.2">
      <c r="A2050" s="129">
        <f ca="1">IF(F2050&lt;&gt;"",1+MAX($A$6:B2058),"")</f>
        <v>971</v>
      </c>
      <c r="B2050" s="126" t="s">
        <v>680</v>
      </c>
      <c r="C2050" s="120" t="s">
        <v>519</v>
      </c>
      <c r="D2050" s="120"/>
      <c r="E2050" s="122" t="s">
        <v>639</v>
      </c>
      <c r="F2050" s="123">
        <f>22*2.5*2</f>
        <v>110</v>
      </c>
      <c r="G2050" s="184">
        <v>0.1</v>
      </c>
      <c r="H2050" s="125">
        <f t="shared" si="357"/>
        <v>121.00000000000001</v>
      </c>
      <c r="I2050" s="126" t="s">
        <v>463</v>
      </c>
      <c r="J2050" s="37">
        <f>K$385</f>
        <v>0</v>
      </c>
      <c r="K2050" s="159">
        <f t="shared" si="358"/>
        <v>0</v>
      </c>
      <c r="L2050" s="160"/>
    </row>
    <row r="2051" spans="1:12" x14ac:dyDescent="0.2">
      <c r="A2051" s="129">
        <f ca="1">IF(F2051&lt;&gt;"",1+MAX($A$6:B2059),"")</f>
        <v>972</v>
      </c>
      <c r="B2051" s="126" t="s">
        <v>680</v>
      </c>
      <c r="C2051" s="120" t="s">
        <v>519</v>
      </c>
      <c r="D2051" s="120"/>
      <c r="E2051" s="122" t="s">
        <v>690</v>
      </c>
      <c r="F2051" s="123">
        <f>2*22*2.044*1.2</f>
        <v>107.92320000000001</v>
      </c>
      <c r="G2051" s="184">
        <v>0.1</v>
      </c>
      <c r="H2051" s="125">
        <f t="shared" si="357"/>
        <v>118.71552000000001</v>
      </c>
      <c r="I2051" s="126" t="s">
        <v>292</v>
      </c>
      <c r="J2051" s="37">
        <f t="shared" ref="J2051:J2054" si="359">$J$15</f>
        <v>0</v>
      </c>
      <c r="K2051" s="159">
        <f t="shared" si="358"/>
        <v>0</v>
      </c>
      <c r="L2051" s="160"/>
    </row>
    <row r="2052" spans="1:12" x14ac:dyDescent="0.2">
      <c r="A2052" s="129">
        <f ca="1">IF(F2052&lt;&gt;"",1+MAX($A$6:B2060),"")</f>
        <v>973</v>
      </c>
      <c r="B2052" s="126" t="s">
        <v>680</v>
      </c>
      <c r="C2052" s="120" t="s">
        <v>519</v>
      </c>
      <c r="D2052" s="120"/>
      <c r="E2052" s="122" t="s">
        <v>696</v>
      </c>
      <c r="F2052" s="123">
        <f>3*22*3.4*1.2</f>
        <v>269.27999999999997</v>
      </c>
      <c r="G2052" s="184">
        <v>0.1</v>
      </c>
      <c r="H2052" s="125">
        <f t="shared" si="357"/>
        <v>296.20799999999997</v>
      </c>
      <c r="I2052" s="126" t="s">
        <v>292</v>
      </c>
      <c r="J2052" s="37">
        <f t="shared" si="359"/>
        <v>0</v>
      </c>
      <c r="K2052" s="159">
        <f t="shared" si="358"/>
        <v>0</v>
      </c>
      <c r="L2052" s="160"/>
    </row>
    <row r="2053" spans="1:12" x14ac:dyDescent="0.2">
      <c r="A2053" s="129">
        <f ca="1">IF(F2053&lt;&gt;"",1+MAX($A$6:B2061),"")</f>
        <v>974</v>
      </c>
      <c r="B2053" s="126" t="s">
        <v>680</v>
      </c>
      <c r="C2053" s="120" t="s">
        <v>519</v>
      </c>
      <c r="D2053" s="120"/>
      <c r="E2053" s="122" t="s">
        <v>697</v>
      </c>
      <c r="F2053" s="123">
        <f>2*24*2.67*1.2</f>
        <v>153.792</v>
      </c>
      <c r="G2053" s="184">
        <v>0.1</v>
      </c>
      <c r="H2053" s="125">
        <f t="shared" si="357"/>
        <v>169.17120000000003</v>
      </c>
      <c r="I2053" s="126" t="s">
        <v>292</v>
      </c>
      <c r="J2053" s="37">
        <f t="shared" si="359"/>
        <v>0</v>
      </c>
      <c r="K2053" s="159">
        <f t="shared" si="358"/>
        <v>0</v>
      </c>
      <c r="L2053" s="160"/>
    </row>
    <row r="2054" spans="1:12" x14ac:dyDescent="0.2">
      <c r="A2054" s="129">
        <f ca="1">IF(F2054&lt;&gt;"",1+MAX($A$6:B2062),"")</f>
        <v>975</v>
      </c>
      <c r="B2054" s="126" t="s">
        <v>680</v>
      </c>
      <c r="C2054" s="120" t="s">
        <v>519</v>
      </c>
      <c r="D2054" s="120"/>
      <c r="E2054" s="122" t="s">
        <v>688</v>
      </c>
      <c r="F2054" s="123">
        <f>22/0.5*(2*1+2*2.5+0.5)*0.668*1.2</f>
        <v>264.52800000000002</v>
      </c>
      <c r="G2054" s="184">
        <v>0.1</v>
      </c>
      <c r="H2054" s="125">
        <f t="shared" si="357"/>
        <v>290.98080000000004</v>
      </c>
      <c r="I2054" s="126" t="s">
        <v>292</v>
      </c>
      <c r="J2054" s="37">
        <f t="shared" si="359"/>
        <v>0</v>
      </c>
      <c r="K2054" s="159">
        <f t="shared" si="358"/>
        <v>0</v>
      </c>
      <c r="L2054" s="160"/>
    </row>
    <row r="2055" spans="1:12" ht="63" x14ac:dyDescent="0.2">
      <c r="A2055" s="129" t="str">
        <f>IF(F2055&lt;&gt;"",1+MAX($A$6:B2063),"")</f>
        <v/>
      </c>
      <c r="B2055" s="126"/>
      <c r="C2055" s="120"/>
      <c r="D2055" s="120"/>
      <c r="E2055" s="172" t="s">
        <v>699</v>
      </c>
      <c r="F2055" s="123"/>
      <c r="G2055" s="184"/>
      <c r="H2055" s="125"/>
      <c r="I2055" s="126"/>
      <c r="J2055" s="37"/>
      <c r="K2055" s="159"/>
      <c r="L2055" s="160"/>
    </row>
    <row r="2056" spans="1:12" x14ac:dyDescent="0.2">
      <c r="A2056" s="129">
        <f ca="1">IF(F2056&lt;&gt;"",1+MAX($A$6:B2064),"")</f>
        <v>976</v>
      </c>
      <c r="B2056" s="126" t="s">
        <v>680</v>
      </c>
      <c r="C2056" s="120" t="s">
        <v>519</v>
      </c>
      <c r="D2056" s="120"/>
      <c r="E2056" s="122" t="s">
        <v>460</v>
      </c>
      <c r="F2056" s="209">
        <f>11*0.83*1/27</f>
        <v>0.33814814814814809</v>
      </c>
      <c r="G2056" s="184">
        <v>0.1</v>
      </c>
      <c r="H2056" s="188">
        <f>F2056*(1+G2056)</f>
        <v>0.37196296296296294</v>
      </c>
      <c r="I2056" s="126" t="s">
        <v>461</v>
      </c>
      <c r="J2056" s="37">
        <f>$J$11</f>
        <v>0</v>
      </c>
      <c r="K2056" s="159">
        <f>J2056*H2056</f>
        <v>0</v>
      </c>
      <c r="L2056" s="160"/>
    </row>
    <row r="2057" spans="1:12" x14ac:dyDescent="0.2">
      <c r="A2057" s="129">
        <f ca="1">IF(F2057&lt;&gt;"",1+MAX($A$6:B2065),"")</f>
        <v>977</v>
      </c>
      <c r="B2057" s="126" t="s">
        <v>680</v>
      </c>
      <c r="C2057" s="120" t="s">
        <v>519</v>
      </c>
      <c r="D2057" s="120"/>
      <c r="E2057" s="122" t="s">
        <v>639</v>
      </c>
      <c r="F2057" s="123">
        <f>11*1.25*2</f>
        <v>27.5</v>
      </c>
      <c r="G2057" s="184">
        <v>0.1</v>
      </c>
      <c r="H2057" s="125">
        <f>F2057*(1+G2057)</f>
        <v>30.250000000000004</v>
      </c>
      <c r="I2057" s="126" t="s">
        <v>463</v>
      </c>
      <c r="J2057" s="37">
        <f>K$385</f>
        <v>0</v>
      </c>
      <c r="K2057" s="159">
        <f>J2057*H2057</f>
        <v>0</v>
      </c>
      <c r="L2057" s="160"/>
    </row>
    <row r="2058" spans="1:12" x14ac:dyDescent="0.2">
      <c r="A2058" s="129">
        <f ca="1">IF(F2058&lt;&gt;"",1+MAX($A$6:B2066),"")</f>
        <v>978</v>
      </c>
      <c r="B2058" s="126" t="s">
        <v>680</v>
      </c>
      <c r="C2058" s="120" t="s">
        <v>519</v>
      </c>
      <c r="D2058" s="120"/>
      <c r="E2058" s="122" t="s">
        <v>640</v>
      </c>
      <c r="F2058" s="123">
        <f>6*11*1.5*1.2</f>
        <v>118.8</v>
      </c>
      <c r="G2058" s="184">
        <v>0.1</v>
      </c>
      <c r="H2058" s="125">
        <f>F2058*(1+G2058)</f>
        <v>130.68</v>
      </c>
      <c r="I2058" s="126" t="s">
        <v>292</v>
      </c>
      <c r="J2058" s="37">
        <f t="shared" ref="J2058:J2059" si="360">$J$15</f>
        <v>0</v>
      </c>
      <c r="K2058" s="159">
        <f>J2058*H2058</f>
        <v>0</v>
      </c>
      <c r="L2058" s="160"/>
    </row>
    <row r="2059" spans="1:12" x14ac:dyDescent="0.2">
      <c r="A2059" s="129">
        <f ca="1">IF(F2059&lt;&gt;"",1+MAX($A$6:B2067),"")</f>
        <v>979</v>
      </c>
      <c r="B2059" s="126" t="s">
        <v>680</v>
      </c>
      <c r="C2059" s="120" t="s">
        <v>519</v>
      </c>
      <c r="D2059" s="120"/>
      <c r="E2059" s="122" t="s">
        <v>700</v>
      </c>
      <c r="F2059" s="123">
        <f>(11/0.42+1)*(2*0.83+2*1+0.5)*0.376*1.2</f>
        <v>51.036306285714289</v>
      </c>
      <c r="G2059" s="184">
        <v>0.1</v>
      </c>
      <c r="H2059" s="125">
        <f>F2059*(1+G2059)</f>
        <v>56.13993691428572</v>
      </c>
      <c r="I2059" s="126" t="s">
        <v>292</v>
      </c>
      <c r="J2059" s="37">
        <f t="shared" si="360"/>
        <v>0</v>
      </c>
      <c r="K2059" s="159">
        <f>J2059*H2059</f>
        <v>0</v>
      </c>
      <c r="L2059" s="160"/>
    </row>
    <row r="2060" spans="1:12" ht="63" x14ac:dyDescent="0.2">
      <c r="A2060" s="129" t="str">
        <f>IF(F2060&lt;&gt;"",1+MAX($A$6:B2068),"")</f>
        <v/>
      </c>
      <c r="B2060" s="126"/>
      <c r="C2060" s="120"/>
      <c r="D2060" s="120"/>
      <c r="E2060" s="172" t="s">
        <v>701</v>
      </c>
      <c r="F2060" s="123"/>
      <c r="G2060" s="184"/>
      <c r="H2060" s="125"/>
      <c r="I2060" s="126"/>
      <c r="J2060" s="37"/>
      <c r="K2060" s="159"/>
      <c r="L2060" s="160"/>
    </row>
    <row r="2061" spans="1:12" x14ac:dyDescent="0.2">
      <c r="A2061" s="129">
        <f ca="1">IF(F2061&lt;&gt;"",1+MAX($A$6:B2069),"")</f>
        <v>980</v>
      </c>
      <c r="B2061" s="126" t="s">
        <v>610</v>
      </c>
      <c r="C2061" s="208" t="s">
        <v>302</v>
      </c>
      <c r="D2061" s="120"/>
      <c r="E2061" s="122" t="s">
        <v>460</v>
      </c>
      <c r="F2061" s="209">
        <f>12*0.83*4/27</f>
        <v>1.4755555555555555</v>
      </c>
      <c r="G2061" s="184">
        <v>0.1</v>
      </c>
      <c r="H2061" s="188">
        <f>F2061*(1+G2061)</f>
        <v>1.6231111111111112</v>
      </c>
      <c r="I2061" s="126" t="s">
        <v>461</v>
      </c>
      <c r="J2061" s="37">
        <f>$J$11</f>
        <v>0</v>
      </c>
      <c r="K2061" s="159">
        <f>J2061*H2061</f>
        <v>0</v>
      </c>
      <c r="L2061" s="160"/>
    </row>
    <row r="2062" spans="1:12" x14ac:dyDescent="0.2">
      <c r="A2062" s="129">
        <f ca="1">IF(F2062&lt;&gt;"",1+MAX($A$6:B2070),"")</f>
        <v>981</v>
      </c>
      <c r="B2062" s="126" t="s">
        <v>610</v>
      </c>
      <c r="C2062" s="208" t="s">
        <v>302</v>
      </c>
      <c r="D2062" s="120"/>
      <c r="E2062" s="122" t="s">
        <v>639</v>
      </c>
      <c r="F2062" s="123">
        <f>12*4*2</f>
        <v>96</v>
      </c>
      <c r="G2062" s="184">
        <v>0.1</v>
      </c>
      <c r="H2062" s="125">
        <f>F2062*(1+G2062)</f>
        <v>105.60000000000001</v>
      </c>
      <c r="I2062" s="126" t="s">
        <v>463</v>
      </c>
      <c r="J2062" s="37">
        <f>K$385</f>
        <v>0</v>
      </c>
      <c r="K2062" s="159">
        <f>J2062*H2062</f>
        <v>0</v>
      </c>
      <c r="L2062" s="160"/>
    </row>
    <row r="2063" spans="1:12" x14ac:dyDescent="0.2">
      <c r="A2063" s="129">
        <f ca="1">IF(F2063&lt;&gt;"",1+MAX($A$6:B2071),"")</f>
        <v>982</v>
      </c>
      <c r="B2063" s="126" t="s">
        <v>610</v>
      </c>
      <c r="C2063" s="208" t="s">
        <v>302</v>
      </c>
      <c r="D2063" s="120"/>
      <c r="E2063" s="122" t="s">
        <v>647</v>
      </c>
      <c r="F2063" s="123">
        <f>4*12*3.4*1.2</f>
        <v>195.83999999999997</v>
      </c>
      <c r="G2063" s="184">
        <v>0.1</v>
      </c>
      <c r="H2063" s="125">
        <f>F2063*(1+G2063)</f>
        <v>215.42399999999998</v>
      </c>
      <c r="I2063" s="126" t="s">
        <v>292</v>
      </c>
      <c r="J2063" s="37">
        <f t="shared" ref="J2063:J2064" si="361">$J$15</f>
        <v>0</v>
      </c>
      <c r="K2063" s="159">
        <f>J2063*H2063</f>
        <v>0</v>
      </c>
      <c r="L2063" s="160"/>
    </row>
    <row r="2064" spans="1:12" x14ac:dyDescent="0.2">
      <c r="A2064" s="129">
        <f ca="1">IF(F2064&lt;&gt;"",1+MAX($A$6:B2072),"")</f>
        <v>983</v>
      </c>
      <c r="B2064" s="126" t="s">
        <v>610</v>
      </c>
      <c r="C2064" s="208" t="s">
        <v>302</v>
      </c>
      <c r="D2064" s="120"/>
      <c r="E2064" s="122" t="s">
        <v>665</v>
      </c>
      <c r="F2064" s="123">
        <f>(12/0.33+1)*(2*0.83+2*4+0.5)*0.668*1.2</f>
        <v>304.2990196363636</v>
      </c>
      <c r="G2064" s="184">
        <v>0.1</v>
      </c>
      <c r="H2064" s="125">
        <f>F2064*(1+G2064)</f>
        <v>334.72892159999998</v>
      </c>
      <c r="I2064" s="126" t="s">
        <v>292</v>
      </c>
      <c r="J2064" s="37">
        <f t="shared" si="361"/>
        <v>0</v>
      </c>
      <c r="K2064" s="159">
        <f>J2064*H2064</f>
        <v>0</v>
      </c>
      <c r="L2064" s="160"/>
    </row>
    <row r="2065" spans="1:12" x14ac:dyDescent="0.2">
      <c r="A2065" s="129" t="str">
        <f>IF(F2065&lt;&gt;"",1+MAX($A$6:B2073),"")</f>
        <v/>
      </c>
      <c r="B2065" s="126"/>
      <c r="C2065" s="120"/>
      <c r="D2065" s="120"/>
      <c r="E2065" s="172" t="s">
        <v>633</v>
      </c>
      <c r="F2065" s="123"/>
      <c r="G2065" s="184"/>
      <c r="H2065" s="125"/>
      <c r="I2065" s="126"/>
      <c r="J2065" s="23"/>
      <c r="K2065" s="207"/>
      <c r="L2065" s="160"/>
    </row>
    <row r="2066" spans="1:12" x14ac:dyDescent="0.2">
      <c r="A2066" s="129">
        <f ca="1">IF(F2066&lt;&gt;"",1+MAX($A$6:B2074),"")</f>
        <v>984</v>
      </c>
      <c r="B2066" s="126" t="s">
        <v>680</v>
      </c>
      <c r="C2066" s="120" t="s">
        <v>634</v>
      </c>
      <c r="D2066" s="120"/>
      <c r="E2066" s="122" t="s">
        <v>460</v>
      </c>
      <c r="F2066" s="123">
        <f>735*0.83/27</f>
        <v>22.594444444444441</v>
      </c>
      <c r="G2066" s="184">
        <v>0.1</v>
      </c>
      <c r="H2066" s="125">
        <f>F2066*(1+G2066)</f>
        <v>24.853888888888889</v>
      </c>
      <c r="I2066" s="126" t="s">
        <v>461</v>
      </c>
      <c r="J2066" s="37">
        <f>$J$11</f>
        <v>0</v>
      </c>
      <c r="K2066" s="159">
        <f>J2066*H2066</f>
        <v>0</v>
      </c>
      <c r="L2066" s="160"/>
    </row>
    <row r="2067" spans="1:12" x14ac:dyDescent="0.2">
      <c r="A2067" s="129">
        <f ca="1">IF(F2067&lt;&gt;"",1+MAX($A$6:B2075),"")</f>
        <v>985</v>
      </c>
      <c r="B2067" s="126" t="s">
        <v>680</v>
      </c>
      <c r="C2067" s="120" t="s">
        <v>634</v>
      </c>
      <c r="D2067" s="120"/>
      <c r="E2067" s="122" t="s">
        <v>635</v>
      </c>
      <c r="F2067" s="123">
        <f>327*0.83</f>
        <v>271.40999999999997</v>
      </c>
      <c r="G2067" s="184">
        <v>0.1</v>
      </c>
      <c r="H2067" s="125">
        <f t="shared" ref="H2067:H2068" si="362">F2067*(1+G2067)</f>
        <v>298.55099999999999</v>
      </c>
      <c r="I2067" s="126" t="s">
        <v>463</v>
      </c>
      <c r="J2067" s="37">
        <f>K$340</f>
        <v>0</v>
      </c>
      <c r="K2067" s="159">
        <f t="shared" ref="K2067:K2068" si="363">J2067*H2067</f>
        <v>0</v>
      </c>
      <c r="L2067" s="160"/>
    </row>
    <row r="2068" spans="1:12" x14ac:dyDescent="0.2">
      <c r="A2068" s="129">
        <f ca="1">IF(F2068&lt;&gt;"",1+MAX($A$6:B2076),"")</f>
        <v>986</v>
      </c>
      <c r="B2068" s="126" t="s">
        <v>680</v>
      </c>
      <c r="C2068" s="120" t="s">
        <v>634</v>
      </c>
      <c r="D2068" s="120"/>
      <c r="E2068" s="122" t="s">
        <v>636</v>
      </c>
      <c r="F2068" s="123">
        <f>1.043*1.2*2*1.13*(735)</f>
        <v>2079.0327599999996</v>
      </c>
      <c r="G2068" s="184">
        <v>0.1</v>
      </c>
      <c r="H2068" s="125">
        <f t="shared" si="362"/>
        <v>2286.9360359999996</v>
      </c>
      <c r="I2068" s="126" t="s">
        <v>292</v>
      </c>
      <c r="J2068" s="37">
        <f>$J$15</f>
        <v>0</v>
      </c>
      <c r="K2068" s="159">
        <f t="shared" si="363"/>
        <v>0</v>
      </c>
      <c r="L2068" s="160"/>
    </row>
    <row r="2069" spans="1:12" x14ac:dyDescent="0.2">
      <c r="A2069" s="129" t="str">
        <f>IF(F2069&lt;&gt;"",1+MAX($A$6:B2077),"")</f>
        <v/>
      </c>
      <c r="B2069" s="126"/>
      <c r="C2069" s="120"/>
      <c r="D2069" s="120"/>
      <c r="E2069" s="122"/>
      <c r="F2069" s="123"/>
      <c r="G2069" s="184"/>
      <c r="H2069" s="125"/>
      <c r="I2069" s="126"/>
      <c r="J2069" s="37"/>
      <c r="K2069" s="159"/>
      <c r="L2069" s="160"/>
    </row>
    <row r="2070" spans="1:12" x14ac:dyDescent="0.2">
      <c r="A2070" s="129" t="str">
        <f>IF(F2070&lt;&gt;"",1+MAX($A$6:B2078),"")</f>
        <v/>
      </c>
      <c r="B2070" s="126"/>
      <c r="C2070" s="120"/>
      <c r="D2070" s="120"/>
      <c r="E2070" s="172" t="s">
        <v>702</v>
      </c>
      <c r="F2070" s="123"/>
      <c r="G2070" s="184"/>
      <c r="H2070" s="125"/>
      <c r="I2070" s="126"/>
      <c r="J2070" s="23"/>
      <c r="K2070" s="207"/>
      <c r="L2070" s="160"/>
    </row>
    <row r="2071" spans="1:12" ht="31.5" x14ac:dyDescent="0.2">
      <c r="A2071" s="129">
        <f ca="1">IF(F2071&lt;&gt;"",1+MAX($A$6:B2079),"")</f>
        <v>987</v>
      </c>
      <c r="B2071" s="126" t="s">
        <v>703</v>
      </c>
      <c r="C2071" s="120" t="s">
        <v>704</v>
      </c>
      <c r="D2071" s="186">
        <f>H2071*0.25/27</f>
        <v>8.6879629629629633</v>
      </c>
      <c r="E2071" s="122" t="s">
        <v>705</v>
      </c>
      <c r="F2071" s="123">
        <v>853</v>
      </c>
      <c r="G2071" s="184">
        <v>0.1</v>
      </c>
      <c r="H2071" s="125">
        <f t="shared" ref="H2071:H2072" si="364">F2071*(1+G2071)</f>
        <v>938.30000000000007</v>
      </c>
      <c r="I2071" s="126" t="s">
        <v>18</v>
      </c>
      <c r="J2071" s="37">
        <v>0</v>
      </c>
      <c r="K2071" s="159">
        <f t="shared" ref="K2071:K2072" si="365">J2071*H2071</f>
        <v>0</v>
      </c>
      <c r="L2071" s="160"/>
    </row>
    <row r="2072" spans="1:12" x14ac:dyDescent="0.2">
      <c r="A2072" s="129">
        <f ca="1">IF(F2072&lt;&gt;"",1+MAX($A$6:B2080),"")</f>
        <v>988</v>
      </c>
      <c r="B2072" s="126" t="s">
        <v>703</v>
      </c>
      <c r="C2072" s="120" t="s">
        <v>704</v>
      </c>
      <c r="D2072" s="120"/>
      <c r="E2072" s="122" t="s">
        <v>590</v>
      </c>
      <c r="F2072" s="123">
        <v>470</v>
      </c>
      <c r="G2072" s="184">
        <v>0.1</v>
      </c>
      <c r="H2072" s="125">
        <f t="shared" si="364"/>
        <v>517</v>
      </c>
      <c r="I2072" s="126" t="s">
        <v>15</v>
      </c>
      <c r="J2072" s="37">
        <f>$J$320</f>
        <v>0</v>
      </c>
      <c r="K2072" s="159">
        <f t="shared" si="365"/>
        <v>0</v>
      </c>
      <c r="L2072" s="160"/>
    </row>
    <row r="2073" spans="1:12" x14ac:dyDescent="0.2">
      <c r="A2073" s="129" t="str">
        <f>IF(F2073&lt;&gt;"",1+MAX($A$6:B2081),"")</f>
        <v/>
      </c>
      <c r="B2073" s="126"/>
      <c r="C2073" s="120"/>
      <c r="D2073" s="120"/>
      <c r="E2073" s="172" t="s">
        <v>706</v>
      </c>
      <c r="F2073" s="123"/>
      <c r="G2073" s="184"/>
      <c r="H2073" s="125"/>
      <c r="I2073" s="126"/>
      <c r="J2073" s="23"/>
      <c r="K2073" s="207"/>
      <c r="L2073" s="160"/>
    </row>
    <row r="2074" spans="1:12" x14ac:dyDescent="0.2">
      <c r="A2074" s="129">
        <f ca="1">IF(F2074&lt;&gt;"",1+MAX($A$6:B2082),"")</f>
        <v>989</v>
      </c>
      <c r="B2074" s="126" t="s">
        <v>707</v>
      </c>
      <c r="C2074" s="120" t="s">
        <v>708</v>
      </c>
      <c r="D2074" s="120"/>
      <c r="E2074" s="122" t="s">
        <v>460</v>
      </c>
      <c r="F2074" s="123">
        <f>1.3*3.75*53/27</f>
        <v>9.5694444444444446</v>
      </c>
      <c r="G2074" s="184">
        <v>0.1</v>
      </c>
      <c r="H2074" s="125">
        <f t="shared" ref="H2074:H2080" si="366">F2074*(1+G2074)</f>
        <v>10.52638888888889</v>
      </c>
      <c r="I2074" s="126" t="s">
        <v>461</v>
      </c>
      <c r="J2074" s="37">
        <f>$J$11</f>
        <v>0</v>
      </c>
      <c r="K2074" s="159">
        <f t="shared" ref="K2074:K2080" si="367">J2074*H2074</f>
        <v>0</v>
      </c>
      <c r="L2074" s="160"/>
    </row>
    <row r="2075" spans="1:12" x14ac:dyDescent="0.2">
      <c r="A2075" s="129">
        <f ca="1">IF(F2075&lt;&gt;"",1+MAX($A$6:B2083),"")</f>
        <v>990</v>
      </c>
      <c r="B2075" s="126" t="s">
        <v>707</v>
      </c>
      <c r="C2075" s="120" t="s">
        <v>708</v>
      </c>
      <c r="D2075" s="120"/>
      <c r="E2075" s="122" t="s">
        <v>709</v>
      </c>
      <c r="F2075" s="123">
        <f>0.668*1.2*1.13*1.3*3.75*23/0.67</f>
        <v>151.58764477611936</v>
      </c>
      <c r="G2075" s="184">
        <v>0.1</v>
      </c>
      <c r="H2075" s="125">
        <f t="shared" si="366"/>
        <v>166.74640925373131</v>
      </c>
      <c r="I2075" s="126" t="s">
        <v>292</v>
      </c>
      <c r="J2075" s="37">
        <f t="shared" ref="J2075:J2076" si="368">$J$15</f>
        <v>0</v>
      </c>
      <c r="K2075" s="159">
        <f t="shared" si="367"/>
        <v>0</v>
      </c>
      <c r="L2075" s="160"/>
    </row>
    <row r="2076" spans="1:12" x14ac:dyDescent="0.2">
      <c r="A2076" s="129">
        <f ca="1">IF(F2076&lt;&gt;"",1+MAX($A$6:B2084),"")</f>
        <v>991</v>
      </c>
      <c r="B2076" s="126" t="s">
        <v>707</v>
      </c>
      <c r="C2076" s="120" t="s">
        <v>708</v>
      </c>
      <c r="D2076" s="120"/>
      <c r="E2076" s="122" t="s">
        <v>710</v>
      </c>
      <c r="F2076" s="123">
        <f>1.043*1.2*1.13*1.3*3.75*23/1.33</f>
        <v>119.23254473684207</v>
      </c>
      <c r="G2076" s="184">
        <v>0.1</v>
      </c>
      <c r="H2076" s="125">
        <f t="shared" si="366"/>
        <v>131.15579921052628</v>
      </c>
      <c r="I2076" s="126" t="s">
        <v>292</v>
      </c>
      <c r="J2076" s="37">
        <f t="shared" si="368"/>
        <v>0</v>
      </c>
      <c r="K2076" s="159">
        <f t="shared" si="367"/>
        <v>0</v>
      </c>
      <c r="L2076" s="160"/>
    </row>
    <row r="2077" spans="1:12" x14ac:dyDescent="0.2">
      <c r="A2077" s="129">
        <f ca="1">IF(F2077&lt;&gt;"",1+MAX($A$6:B2085),"")</f>
        <v>992</v>
      </c>
      <c r="B2077" s="126" t="s">
        <v>707</v>
      </c>
      <c r="C2077" s="120" t="s">
        <v>708</v>
      </c>
      <c r="D2077" s="120"/>
      <c r="E2077" s="122" t="s">
        <v>711</v>
      </c>
      <c r="F2077" s="123">
        <f>1.3*2*53+53*3.75*0.58+258</f>
        <v>511.07499999999999</v>
      </c>
      <c r="G2077" s="184">
        <v>0.1</v>
      </c>
      <c r="H2077" s="125">
        <f t="shared" si="366"/>
        <v>562.1825</v>
      </c>
      <c r="I2077" s="126" t="s">
        <v>463</v>
      </c>
      <c r="J2077" s="37">
        <f>K$209</f>
        <v>0</v>
      </c>
      <c r="K2077" s="159">
        <f t="shared" si="367"/>
        <v>0</v>
      </c>
      <c r="L2077" s="160"/>
    </row>
    <row r="2078" spans="1:12" x14ac:dyDescent="0.2">
      <c r="A2078" s="129">
        <f ca="1">IF(F2078&lt;&gt;"",1+MAX($A$6:B2086),"")</f>
        <v>993</v>
      </c>
      <c r="B2078" s="126" t="s">
        <v>707</v>
      </c>
      <c r="C2078" s="120" t="s">
        <v>708</v>
      </c>
      <c r="D2078" s="120"/>
      <c r="E2078" s="122" t="s">
        <v>613</v>
      </c>
      <c r="F2078" s="123">
        <v>258</v>
      </c>
      <c r="G2078" s="184">
        <v>0.1</v>
      </c>
      <c r="H2078" s="125">
        <f t="shared" si="366"/>
        <v>283.8</v>
      </c>
      <c r="I2078" s="126" t="s">
        <v>18</v>
      </c>
      <c r="J2078" s="37">
        <f>$J$348</f>
        <v>0</v>
      </c>
      <c r="K2078" s="159">
        <f t="shared" si="367"/>
        <v>0</v>
      </c>
      <c r="L2078" s="160"/>
    </row>
    <row r="2079" spans="1:12" x14ac:dyDescent="0.2">
      <c r="A2079" s="129">
        <f ca="1">IF(F2079&lt;&gt;"",1+MAX($A$6:B2087),"")</f>
        <v>994</v>
      </c>
      <c r="B2079" s="126" t="s">
        <v>707</v>
      </c>
      <c r="C2079" s="120" t="s">
        <v>708</v>
      </c>
      <c r="D2079" s="120"/>
      <c r="E2079" s="122" t="s">
        <v>712</v>
      </c>
      <c r="F2079" s="123">
        <f>53*4</f>
        <v>212</v>
      </c>
      <c r="G2079" s="184">
        <v>0.1</v>
      </c>
      <c r="H2079" s="125">
        <f t="shared" si="366"/>
        <v>233.20000000000002</v>
      </c>
      <c r="I2079" s="126" t="s">
        <v>15</v>
      </c>
      <c r="J2079" s="37">
        <v>0</v>
      </c>
      <c r="K2079" s="159">
        <f t="shared" si="367"/>
        <v>0</v>
      </c>
      <c r="L2079" s="160"/>
    </row>
    <row r="2080" spans="1:12" x14ac:dyDescent="0.2">
      <c r="A2080" s="129">
        <f ca="1">IF(F2080&lt;&gt;"",1+MAX($A$6:B2088),"")</f>
        <v>995</v>
      </c>
      <c r="B2080" s="126" t="s">
        <v>707</v>
      </c>
      <c r="C2080" s="120" t="s">
        <v>708</v>
      </c>
      <c r="D2080" s="120"/>
      <c r="E2080" s="122" t="s">
        <v>713</v>
      </c>
      <c r="F2080" s="123">
        <f>1.3*53/1.33+1</f>
        <v>52.804511278195491</v>
      </c>
      <c r="G2080" s="184">
        <v>0</v>
      </c>
      <c r="H2080" s="125">
        <f t="shared" si="366"/>
        <v>52.804511278195491</v>
      </c>
      <c r="I2080" s="126" t="s">
        <v>20</v>
      </c>
      <c r="J2080" s="37">
        <v>0</v>
      </c>
      <c r="K2080" s="159">
        <f t="shared" si="367"/>
        <v>0</v>
      </c>
      <c r="L2080" s="160"/>
    </row>
    <row r="2081" spans="1:12" x14ac:dyDescent="0.2">
      <c r="A2081" s="129" t="str">
        <f>IF(F2081&lt;&gt;"",1+MAX($A$6:B2089),"")</f>
        <v/>
      </c>
      <c r="B2081" s="126"/>
      <c r="C2081" s="120"/>
      <c r="D2081" s="120"/>
      <c r="E2081" s="172" t="s">
        <v>714</v>
      </c>
      <c r="F2081" s="123"/>
      <c r="G2081" s="184"/>
      <c r="H2081" s="125"/>
      <c r="I2081" s="126"/>
      <c r="J2081" s="23"/>
      <c r="K2081" s="207"/>
      <c r="L2081" s="160"/>
    </row>
    <row r="2082" spans="1:12" x14ac:dyDescent="0.2">
      <c r="A2082" s="129">
        <f ca="1">IF(F2082&lt;&gt;"",1+MAX($A$6:B2090),"")</f>
        <v>996</v>
      </c>
      <c r="B2082" s="126" t="s">
        <v>707</v>
      </c>
      <c r="C2082" s="120" t="s">
        <v>708</v>
      </c>
      <c r="D2082" s="186">
        <f>H2082/27*0.67</f>
        <v>3.5758148148148154</v>
      </c>
      <c r="E2082" s="122" t="s">
        <v>715</v>
      </c>
      <c r="F2082" s="123">
        <v>131</v>
      </c>
      <c r="G2082" s="184">
        <v>0.1</v>
      </c>
      <c r="H2082" s="125">
        <f t="shared" ref="H2082:H2089" si="369">F2082*(1+G2082)</f>
        <v>144.10000000000002</v>
      </c>
      <c r="I2082" s="126" t="s">
        <v>18</v>
      </c>
      <c r="J2082" s="37">
        <v>0</v>
      </c>
      <c r="K2082" s="159">
        <f t="shared" ref="K2082:K2089" si="370">J2082*H2082</f>
        <v>0</v>
      </c>
      <c r="L2082" s="160"/>
    </row>
    <row r="2083" spans="1:12" x14ac:dyDescent="0.2">
      <c r="A2083" s="129">
        <f ca="1">IF(F2083&lt;&gt;"",1+MAX($A$6:B2091),"")</f>
        <v>997</v>
      </c>
      <c r="B2083" s="126" t="s">
        <v>707</v>
      </c>
      <c r="C2083" s="120" t="s">
        <v>708</v>
      </c>
      <c r="D2083" s="120"/>
      <c r="E2083" s="122" t="s">
        <v>716</v>
      </c>
      <c r="F2083" s="123">
        <v>84</v>
      </c>
      <c r="G2083" s="184">
        <v>0.1</v>
      </c>
      <c r="H2083" s="125">
        <f t="shared" si="369"/>
        <v>92.4</v>
      </c>
      <c r="I2083" s="126" t="s">
        <v>15</v>
      </c>
      <c r="J2083" s="37">
        <f>$J$320</f>
        <v>0</v>
      </c>
      <c r="K2083" s="159">
        <f t="shared" si="370"/>
        <v>0</v>
      </c>
      <c r="L2083" s="160"/>
    </row>
    <row r="2084" spans="1:12" x14ac:dyDescent="0.2">
      <c r="A2084" s="129">
        <f ca="1">IF(F2084&lt;&gt;"",1+MAX($A$6:B2092),"")</f>
        <v>998</v>
      </c>
      <c r="B2084" s="126" t="s">
        <v>707</v>
      </c>
      <c r="C2084" s="120" t="s">
        <v>708</v>
      </c>
      <c r="D2084" s="120"/>
      <c r="E2084" s="122" t="s">
        <v>717</v>
      </c>
      <c r="F2084" s="123">
        <f>1.043*1.2*F2082</f>
        <v>163.95959999999997</v>
      </c>
      <c r="G2084" s="184">
        <v>0.1</v>
      </c>
      <c r="H2084" s="125">
        <f t="shared" si="369"/>
        <v>180.35555999999997</v>
      </c>
      <c r="I2084" s="126" t="s">
        <v>292</v>
      </c>
      <c r="J2084" s="37">
        <f t="shared" ref="J2084:J2087" si="371">$J$15</f>
        <v>0</v>
      </c>
      <c r="K2084" s="159">
        <f t="shared" si="370"/>
        <v>0</v>
      </c>
      <c r="L2084" s="160"/>
    </row>
    <row r="2085" spans="1:12" x14ac:dyDescent="0.2">
      <c r="A2085" s="129">
        <f ca="1">IF(F2085&lt;&gt;"",1+MAX($A$6:B2093),"")</f>
        <v>999</v>
      </c>
      <c r="B2085" s="126" t="s">
        <v>707</v>
      </c>
      <c r="C2085" s="120" t="s">
        <v>708</v>
      </c>
      <c r="D2085" s="120"/>
      <c r="E2085" s="122" t="s">
        <v>718</v>
      </c>
      <c r="F2085" s="123">
        <f>F2084/0.67</f>
        <v>244.71582089552231</v>
      </c>
      <c r="G2085" s="184">
        <v>0.1</v>
      </c>
      <c r="H2085" s="125">
        <f t="shared" si="369"/>
        <v>269.18740298507458</v>
      </c>
      <c r="I2085" s="126" t="s">
        <v>292</v>
      </c>
      <c r="J2085" s="37">
        <f t="shared" si="371"/>
        <v>0</v>
      </c>
      <c r="K2085" s="159">
        <f t="shared" si="370"/>
        <v>0</v>
      </c>
      <c r="L2085" s="160"/>
    </row>
    <row r="2086" spans="1:12" x14ac:dyDescent="0.2">
      <c r="A2086" s="129">
        <f ca="1">IF(F2086&lt;&gt;"",1+MAX($A$6:B2094),"")</f>
        <v>1000</v>
      </c>
      <c r="B2086" s="126" t="s">
        <v>707</v>
      </c>
      <c r="C2086" s="120" t="s">
        <v>708</v>
      </c>
      <c r="D2086" s="120"/>
      <c r="E2086" s="122" t="s">
        <v>719</v>
      </c>
      <c r="F2086" s="123">
        <f>3*9*1.043*1.2</f>
        <v>33.793199999999999</v>
      </c>
      <c r="G2086" s="184">
        <v>0.1</v>
      </c>
      <c r="H2086" s="125">
        <f t="shared" si="369"/>
        <v>37.172519999999999</v>
      </c>
      <c r="I2086" s="126" t="s">
        <v>292</v>
      </c>
      <c r="J2086" s="37">
        <f t="shared" si="371"/>
        <v>0</v>
      </c>
      <c r="K2086" s="159">
        <f t="shared" si="370"/>
        <v>0</v>
      </c>
      <c r="L2086" s="160"/>
    </row>
    <row r="2087" spans="1:12" x14ac:dyDescent="0.2">
      <c r="A2087" s="129">
        <f ca="1">IF(F2087&lt;&gt;"",1+MAX($A$6:B2095),"")</f>
        <v>1001</v>
      </c>
      <c r="B2087" s="126" t="s">
        <v>707</v>
      </c>
      <c r="C2087" s="120" t="s">
        <v>708</v>
      </c>
      <c r="D2087" s="120"/>
      <c r="E2087" s="122" t="s">
        <v>720</v>
      </c>
      <c r="F2087" s="123">
        <f>3*9*1.5*1.2</f>
        <v>48.6</v>
      </c>
      <c r="G2087" s="184">
        <v>0.1</v>
      </c>
      <c r="H2087" s="125">
        <f t="shared" si="369"/>
        <v>53.460000000000008</v>
      </c>
      <c r="I2087" s="126" t="s">
        <v>292</v>
      </c>
      <c r="J2087" s="37">
        <f t="shared" si="371"/>
        <v>0</v>
      </c>
      <c r="K2087" s="159">
        <f t="shared" si="370"/>
        <v>0</v>
      </c>
      <c r="L2087" s="160"/>
    </row>
    <row r="2088" spans="1:12" x14ac:dyDescent="0.2">
      <c r="A2088" s="129">
        <f ca="1">IF(F2088&lt;&gt;"",1+MAX($A$6:B2095),"")</f>
        <v>1002</v>
      </c>
      <c r="B2088" s="126" t="s">
        <v>707</v>
      </c>
      <c r="C2088" s="120" t="s">
        <v>708</v>
      </c>
      <c r="D2088" s="120"/>
      <c r="E2088" s="122" t="s">
        <v>613</v>
      </c>
      <c r="F2088" s="123">
        <v>131</v>
      </c>
      <c r="G2088" s="184">
        <v>0.1</v>
      </c>
      <c r="H2088" s="125">
        <f t="shared" si="369"/>
        <v>144.10000000000002</v>
      </c>
      <c r="I2088" s="126" t="s">
        <v>18</v>
      </c>
      <c r="J2088" s="37">
        <f>$J$348</f>
        <v>0</v>
      </c>
      <c r="K2088" s="159">
        <f t="shared" si="370"/>
        <v>0</v>
      </c>
      <c r="L2088" s="160"/>
    </row>
    <row r="2089" spans="1:12" x14ac:dyDescent="0.2">
      <c r="A2089" s="129">
        <f ca="1">IF(F2089&lt;&gt;"",1+MAX($A$6:B2095),"")</f>
        <v>1003</v>
      </c>
      <c r="B2089" s="126" t="s">
        <v>707</v>
      </c>
      <c r="C2089" s="120" t="s">
        <v>708</v>
      </c>
      <c r="D2089" s="120"/>
      <c r="E2089" s="122" t="s">
        <v>713</v>
      </c>
      <c r="F2089" s="123">
        <f>1.3*62/1.33+1</f>
        <v>61.601503759398497</v>
      </c>
      <c r="G2089" s="184">
        <v>0</v>
      </c>
      <c r="H2089" s="125">
        <f t="shared" si="369"/>
        <v>61.601503759398497</v>
      </c>
      <c r="I2089" s="126" t="s">
        <v>20</v>
      </c>
      <c r="J2089" s="37">
        <f>K$557</f>
        <v>0</v>
      </c>
      <c r="K2089" s="159">
        <f t="shared" si="370"/>
        <v>0</v>
      </c>
      <c r="L2089" s="160"/>
    </row>
    <row r="2090" spans="1:12" x14ac:dyDescent="0.2">
      <c r="A2090" s="129" t="str">
        <f>IF(F2090&lt;&gt;"",1+MAX($A$6:B2095),"")</f>
        <v/>
      </c>
      <c r="B2090" s="126"/>
      <c r="C2090" s="120"/>
      <c r="D2090" s="189"/>
      <c r="E2090" s="210"/>
      <c r="F2090" s="125"/>
      <c r="G2090" s="184"/>
      <c r="H2090" s="125"/>
      <c r="I2090" s="126"/>
      <c r="J2090" s="127"/>
      <c r="K2090" s="159"/>
      <c r="L2090" s="212"/>
    </row>
    <row r="2091" spans="1:12" x14ac:dyDescent="0.2">
      <c r="A2091" s="129" t="str">
        <f>IF(F2091&lt;&gt;"",1+MAX($A$6:B2095),"")</f>
        <v/>
      </c>
      <c r="B2091" s="120"/>
      <c r="C2091" s="120"/>
      <c r="D2091" s="189"/>
      <c r="E2091" s="190" t="s">
        <v>721</v>
      </c>
      <c r="F2091" s="123"/>
      <c r="G2091" s="184"/>
      <c r="H2091" s="125"/>
      <c r="I2091" s="126"/>
      <c r="J2091" s="127"/>
      <c r="K2091" s="105"/>
      <c r="L2091" s="11">
        <f>SUM(K1530:K2090)</f>
        <v>0</v>
      </c>
    </row>
    <row r="2092" spans="1:12" x14ac:dyDescent="0.2">
      <c r="A2092" s="194" t="s">
        <v>14</v>
      </c>
      <c r="B2092" s="195"/>
      <c r="C2092" s="195"/>
      <c r="D2092" s="195"/>
      <c r="E2092" s="196" t="s">
        <v>363</v>
      </c>
      <c r="F2092" s="197"/>
      <c r="G2092" s="198"/>
      <c r="H2092" s="198"/>
      <c r="I2092" s="199"/>
      <c r="J2092" s="200"/>
      <c r="K2092" s="201">
        <f>(SUM(K1530:K2091))</f>
        <v>0</v>
      </c>
      <c r="L2092" s="202">
        <f>(SUM(L1530:L2091))</f>
        <v>0</v>
      </c>
    </row>
    <row r="2093" spans="1:12" ht="16.5" thickBot="1" x14ac:dyDescent="0.25">
      <c r="A2093" s="67" t="s">
        <v>454</v>
      </c>
      <c r="B2093" s="68"/>
      <c r="C2093" s="68"/>
      <c r="D2093" s="68"/>
      <c r="E2093" s="69"/>
      <c r="F2093" s="70"/>
      <c r="G2093" s="71"/>
      <c r="H2093" s="62"/>
      <c r="I2093" s="68"/>
      <c r="J2093" s="63"/>
      <c r="K2093" s="72">
        <f>SUM(K2092:K2092)</f>
        <v>0</v>
      </c>
      <c r="L2093" s="73"/>
    </row>
    <row r="2094" spans="1:12" ht="16.5" thickBot="1" x14ac:dyDescent="0.25">
      <c r="A2094" s="38" t="s">
        <v>722</v>
      </c>
      <c r="B2094" s="39"/>
      <c r="C2094" s="39"/>
      <c r="D2094" s="39"/>
      <c r="E2094" s="40"/>
      <c r="F2094" s="41"/>
      <c r="G2094" s="42"/>
      <c r="H2094" s="42"/>
      <c r="I2094" s="39"/>
      <c r="J2094" s="43"/>
      <c r="K2094" s="44"/>
      <c r="L2094" s="45"/>
    </row>
    <row r="2095" spans="1:12" ht="16.5" thickBot="1" x14ac:dyDescent="0.25"/>
    <row r="2096" spans="1:12" s="16" customFormat="1" x14ac:dyDescent="0.2">
      <c r="A2096" s="130"/>
      <c r="B2096" s="211"/>
      <c r="C2096" s="132"/>
      <c r="D2096" s="133" t="s">
        <v>739</v>
      </c>
      <c r="E2096" s="134" t="s">
        <v>740</v>
      </c>
      <c r="F2096" s="135"/>
      <c r="G2096" s="136"/>
      <c r="H2096" s="136"/>
      <c r="I2096" s="136"/>
      <c r="J2096" s="137"/>
      <c r="K2096" s="136"/>
      <c r="L2096" s="138"/>
    </row>
    <row r="2097" spans="1:12" s="21" customFormat="1" x14ac:dyDescent="0.2">
      <c r="A2097" s="129" t="str">
        <f>IF(F2097&lt;&gt;"",1+MAX($A$6:A2095),"")</f>
        <v/>
      </c>
      <c r="B2097" s="126"/>
      <c r="C2097" s="120"/>
      <c r="D2097" s="189"/>
      <c r="E2097" s="172" t="s">
        <v>741</v>
      </c>
      <c r="F2097" s="123"/>
      <c r="G2097" s="184"/>
      <c r="H2097" s="125"/>
      <c r="I2097" s="126"/>
      <c r="J2097" s="23"/>
      <c r="K2097" s="207"/>
      <c r="L2097" s="160"/>
    </row>
    <row r="2098" spans="1:12" s="21" customFormat="1" x14ac:dyDescent="0.2">
      <c r="A2098" s="129" t="str">
        <f>IF(F2098&lt;&gt;"",1+MAX($A$1:A2097),"")</f>
        <v/>
      </c>
      <c r="B2098" s="126"/>
      <c r="C2098" s="120"/>
      <c r="D2098" s="189"/>
      <c r="E2098" s="295" t="s">
        <v>742</v>
      </c>
      <c r="F2098" s="125"/>
      <c r="G2098" s="184"/>
      <c r="H2098" s="125"/>
      <c r="I2098" s="126"/>
      <c r="J2098" s="127"/>
      <c r="K2098" s="159"/>
      <c r="L2098" s="213"/>
    </row>
    <row r="2099" spans="1:12" s="21" customFormat="1" ht="31.5" x14ac:dyDescent="0.2">
      <c r="A2099" s="129">
        <f ca="1">IF(F2099&lt;&gt;"",1+MAX($A$1:A2098),"")</f>
        <v>1</v>
      </c>
      <c r="B2099" s="120"/>
      <c r="C2099" s="120"/>
      <c r="D2099" s="189"/>
      <c r="E2099" s="122" t="s">
        <v>743</v>
      </c>
      <c r="F2099" s="123">
        <v>37224</v>
      </c>
      <c r="G2099" s="124">
        <v>0.1</v>
      </c>
      <c r="H2099" s="125">
        <f t="shared" ref="H2099:H2118" si="372">F2099*(1+G2099)</f>
        <v>40946.400000000001</v>
      </c>
      <c r="I2099" s="126" t="s">
        <v>18</v>
      </c>
      <c r="J2099" s="37">
        <v>0</v>
      </c>
      <c r="K2099" s="159">
        <f t="shared" ref="K2099:K2118" si="373">J2099*H2099</f>
        <v>0</v>
      </c>
      <c r="L2099" s="213"/>
    </row>
    <row r="2100" spans="1:12" s="35" customFormat="1" x14ac:dyDescent="0.2">
      <c r="A2100" s="129" t="str">
        <f>IF(F2100&lt;&gt;"",1+MAX($A$1:A2099),"")</f>
        <v/>
      </c>
      <c r="B2100" s="120"/>
      <c r="C2100" s="120"/>
      <c r="D2100" s="189"/>
      <c r="E2100" s="122"/>
      <c r="F2100" s="123"/>
      <c r="G2100" s="124"/>
      <c r="H2100" s="125"/>
      <c r="I2100" s="126"/>
      <c r="J2100" s="37"/>
      <c r="K2100" s="159"/>
      <c r="L2100" s="213"/>
    </row>
    <row r="2101" spans="1:12" s="21" customFormat="1" x14ac:dyDescent="0.2">
      <c r="A2101" s="129" t="str">
        <f>IF(F2101&lt;&gt;"",1+MAX($A$1:A2100),"")</f>
        <v/>
      </c>
      <c r="B2101" s="126"/>
      <c r="C2101" s="120"/>
      <c r="D2101" s="189"/>
      <c r="E2101" s="295" t="s">
        <v>744</v>
      </c>
      <c r="F2101" s="125"/>
      <c r="G2101" s="184"/>
      <c r="H2101" s="125"/>
      <c r="I2101" s="126"/>
      <c r="J2101" s="127"/>
      <c r="K2101" s="159"/>
      <c r="L2101" s="213"/>
    </row>
    <row r="2102" spans="1:12" s="21" customFormat="1" x14ac:dyDescent="0.2">
      <c r="A2102" s="129">
        <f ca="1">IF(F2102&lt;&gt;"",1+MAX($A$1:A2101),"")</f>
        <v>2</v>
      </c>
      <c r="B2102" s="120" t="s">
        <v>745</v>
      </c>
      <c r="C2102" s="120"/>
      <c r="D2102" s="189"/>
      <c r="E2102" s="122" t="s">
        <v>746</v>
      </c>
      <c r="F2102" s="123">
        <v>281.64</v>
      </c>
      <c r="G2102" s="124">
        <v>0.1</v>
      </c>
      <c r="H2102" s="125">
        <f t="shared" ref="H2102" si="374">F2102*(1+G2102)</f>
        <v>309.80400000000003</v>
      </c>
      <c r="I2102" s="126" t="s">
        <v>461</v>
      </c>
      <c r="J2102" s="37">
        <v>0</v>
      </c>
      <c r="K2102" s="159">
        <f t="shared" ref="K2102" si="375">J2102*H2102</f>
        <v>0</v>
      </c>
      <c r="L2102" s="213"/>
    </row>
    <row r="2103" spans="1:12" s="35" customFormat="1" x14ac:dyDescent="0.2">
      <c r="A2103" s="129" t="str">
        <f>IF(F2103&lt;&gt;"",1+MAX($A$1:A2102),"")</f>
        <v/>
      </c>
      <c r="B2103" s="120"/>
      <c r="C2103" s="120"/>
      <c r="D2103" s="189"/>
      <c r="E2103" s="122"/>
      <c r="F2103" s="123"/>
      <c r="G2103" s="124"/>
      <c r="H2103" s="125"/>
      <c r="I2103" s="126"/>
      <c r="J2103" s="37"/>
      <c r="K2103" s="159"/>
      <c r="L2103" s="213"/>
    </row>
    <row r="2104" spans="1:12" s="21" customFormat="1" x14ac:dyDescent="0.2">
      <c r="A2104" s="129" t="str">
        <f>IF(F2104&lt;&gt;"",1+MAX($A$1:A2103),"")</f>
        <v/>
      </c>
      <c r="B2104" s="126"/>
      <c r="C2104" s="120"/>
      <c r="D2104" s="189"/>
      <c r="E2104" s="295" t="s">
        <v>747</v>
      </c>
      <c r="F2104" s="125"/>
      <c r="G2104" s="184"/>
      <c r="H2104" s="125"/>
      <c r="I2104" s="126"/>
      <c r="J2104" s="127"/>
      <c r="K2104" s="159"/>
      <c r="L2104" s="213"/>
    </row>
    <row r="2105" spans="1:12" s="35" customFormat="1" ht="47.25" x14ac:dyDescent="0.2">
      <c r="A2105" s="129">
        <f ca="1">IF(F2105&lt;&gt;"",1+MAX($A$1:A2104),"")</f>
        <v>3</v>
      </c>
      <c r="B2105" s="126" t="s">
        <v>748</v>
      </c>
      <c r="C2105" s="120" t="s">
        <v>749</v>
      </c>
      <c r="D2105" s="189"/>
      <c r="E2105" s="122" t="s">
        <v>750</v>
      </c>
      <c r="F2105" s="123">
        <f>32*90</f>
        <v>2880</v>
      </c>
      <c r="G2105" s="124">
        <v>0.1</v>
      </c>
      <c r="H2105" s="125">
        <f t="shared" ref="H2105:H2110" si="376">F2105*(1+G2105)</f>
        <v>3168.0000000000005</v>
      </c>
      <c r="I2105" s="126" t="s">
        <v>450</v>
      </c>
      <c r="J2105" s="37">
        <v>0</v>
      </c>
      <c r="K2105" s="159">
        <f t="shared" ref="K2105:K2110" si="377">J2105*H2105</f>
        <v>0</v>
      </c>
      <c r="L2105" s="160"/>
    </row>
    <row r="2106" spans="1:12" s="35" customFormat="1" ht="47.25" x14ac:dyDescent="0.2">
      <c r="A2106" s="129">
        <f ca="1">IF(F2106&lt;&gt;"",1+MAX($A$1:A2105),"")</f>
        <v>4</v>
      </c>
      <c r="B2106" s="126" t="s">
        <v>748</v>
      </c>
      <c r="C2106" s="120" t="s">
        <v>749</v>
      </c>
      <c r="D2106" s="189"/>
      <c r="E2106" s="122" t="s">
        <v>751</v>
      </c>
      <c r="F2106" s="123">
        <f>(32.34*90)*57</f>
        <v>165904.20000000001</v>
      </c>
      <c r="G2106" s="124">
        <v>0.1</v>
      </c>
      <c r="H2106" s="125">
        <f t="shared" si="376"/>
        <v>182494.62000000002</v>
      </c>
      <c r="I2106" s="126" t="s">
        <v>292</v>
      </c>
      <c r="J2106" s="37">
        <v>0</v>
      </c>
      <c r="K2106" s="159">
        <f t="shared" si="377"/>
        <v>0</v>
      </c>
      <c r="L2106" s="160"/>
    </row>
    <row r="2107" spans="1:12" s="35" customFormat="1" x14ac:dyDescent="0.2">
      <c r="A2107" s="129">
        <f ca="1">IF(F2107&lt;&gt;"",1+MAX($A$1:A2106),"")</f>
        <v>5</v>
      </c>
      <c r="B2107" s="126" t="s">
        <v>748</v>
      </c>
      <c r="C2107" s="120" t="s">
        <v>749</v>
      </c>
      <c r="D2107" s="189"/>
      <c r="E2107" s="122" t="s">
        <v>752</v>
      </c>
      <c r="F2107" s="123">
        <f>(3.14*1*1*32/27)*90</f>
        <v>334.93333333333334</v>
      </c>
      <c r="G2107" s="124">
        <v>0.1</v>
      </c>
      <c r="H2107" s="125">
        <f t="shared" si="376"/>
        <v>368.42666666666668</v>
      </c>
      <c r="I2107" s="126" t="s">
        <v>461</v>
      </c>
      <c r="J2107" s="37">
        <v>0</v>
      </c>
      <c r="K2107" s="159">
        <f t="shared" si="377"/>
        <v>0</v>
      </c>
      <c r="L2107" s="160"/>
    </row>
    <row r="2108" spans="1:12" s="35" customFormat="1" x14ac:dyDescent="0.2">
      <c r="A2108" s="129">
        <f ca="1">IF(F2108&lt;&gt;"",1+MAX($A$1:A2107),"")</f>
        <v>6</v>
      </c>
      <c r="B2108" s="126" t="s">
        <v>748</v>
      </c>
      <c r="C2108" s="120" t="s">
        <v>749</v>
      </c>
      <c r="D2108" s="189"/>
      <c r="E2108" s="122" t="s">
        <v>753</v>
      </c>
      <c r="F2108" s="123">
        <f>721.31*5</f>
        <v>3606.5499999999997</v>
      </c>
      <c r="G2108" s="124">
        <v>0.1</v>
      </c>
      <c r="H2108" s="125">
        <f t="shared" si="376"/>
        <v>3967.2049999999999</v>
      </c>
      <c r="I2108" s="126" t="s">
        <v>18</v>
      </c>
      <c r="J2108" s="37">
        <v>0</v>
      </c>
      <c r="K2108" s="159">
        <f t="shared" si="377"/>
        <v>0</v>
      </c>
      <c r="L2108" s="160"/>
    </row>
    <row r="2109" spans="1:12" s="35" customFormat="1" x14ac:dyDescent="0.2">
      <c r="A2109" s="129">
        <f ca="1">IF(F2109&lt;&gt;"",1+MAX($A$1:A2108),"")</f>
        <v>7</v>
      </c>
      <c r="B2109" s="126" t="s">
        <v>748</v>
      </c>
      <c r="C2109" s="120" t="s">
        <v>749</v>
      </c>
      <c r="D2109" s="189"/>
      <c r="E2109" s="122" t="s">
        <v>754</v>
      </c>
      <c r="F2109" s="123">
        <f>721.31*9</f>
        <v>6491.7899999999991</v>
      </c>
      <c r="G2109" s="124">
        <v>0.1</v>
      </c>
      <c r="H2109" s="125">
        <f t="shared" si="376"/>
        <v>7140.9689999999991</v>
      </c>
      <c r="I2109" s="126" t="s">
        <v>18</v>
      </c>
      <c r="J2109" s="37">
        <v>0</v>
      </c>
      <c r="K2109" s="159">
        <f t="shared" si="377"/>
        <v>0</v>
      </c>
      <c r="L2109" s="160"/>
    </row>
    <row r="2110" spans="1:12" s="21" customFormat="1" x14ac:dyDescent="0.2">
      <c r="A2110" s="129">
        <f ca="1">IF(F2110&lt;&gt;"",1+MAX($A$1:A2109),"")</f>
        <v>8</v>
      </c>
      <c r="B2110" s="120" t="s">
        <v>745</v>
      </c>
      <c r="C2110" s="120"/>
      <c r="D2110" s="189"/>
      <c r="E2110" s="122" t="s">
        <v>755</v>
      </c>
      <c r="F2110" s="123">
        <f>90</f>
        <v>90</v>
      </c>
      <c r="G2110" s="124">
        <v>0</v>
      </c>
      <c r="H2110" s="125">
        <f t="shared" si="376"/>
        <v>90</v>
      </c>
      <c r="I2110" s="126" t="s">
        <v>756</v>
      </c>
      <c r="J2110" s="37">
        <v>0</v>
      </c>
      <c r="K2110" s="159">
        <f t="shared" si="377"/>
        <v>0</v>
      </c>
      <c r="L2110" s="213"/>
    </row>
    <row r="2111" spans="1:12" s="35" customFormat="1" x14ac:dyDescent="0.2">
      <c r="A2111" s="129" t="str">
        <f>IF(F2111&lt;&gt;"",1+MAX($A$1:A2110),"")</f>
        <v/>
      </c>
      <c r="B2111" s="120"/>
      <c r="C2111" s="120"/>
      <c r="D2111" s="189"/>
      <c r="E2111" s="122"/>
      <c r="F2111" s="123"/>
      <c r="G2111" s="124"/>
      <c r="H2111" s="125"/>
      <c r="I2111" s="126"/>
      <c r="J2111" s="37"/>
      <c r="K2111" s="159"/>
      <c r="L2111" s="213"/>
    </row>
    <row r="2112" spans="1:12" s="21" customFormat="1" x14ac:dyDescent="0.2">
      <c r="A2112" s="129" t="str">
        <f>IF(F2112&lt;&gt;"",1+MAX($A$1:A2111),"")</f>
        <v/>
      </c>
      <c r="B2112" s="126"/>
      <c r="C2112" s="120"/>
      <c r="D2112" s="189"/>
      <c r="E2112" s="295" t="s">
        <v>757</v>
      </c>
      <c r="F2112" s="125"/>
      <c r="G2112" s="184"/>
      <c r="H2112" s="125"/>
      <c r="I2112" s="126"/>
      <c r="J2112" s="127"/>
      <c r="K2112" s="159"/>
      <c r="L2112" s="213"/>
    </row>
    <row r="2113" spans="1:12" s="21" customFormat="1" x14ac:dyDescent="0.2">
      <c r="A2113" s="129">
        <f ca="1">IF(F2113&lt;&gt;"",1+MAX($A$1:A2112),"")</f>
        <v>9</v>
      </c>
      <c r="B2113" s="120" t="s">
        <v>745</v>
      </c>
      <c r="C2113" s="120"/>
      <c r="D2113" s="189"/>
      <c r="E2113" s="122" t="s">
        <v>758</v>
      </c>
      <c r="F2113" s="123">
        <f>11454.46</f>
        <v>11454.46</v>
      </c>
      <c r="G2113" s="124">
        <v>0.1</v>
      </c>
      <c r="H2113" s="125">
        <f t="shared" ref="H2113" si="378">F2113*(1+G2113)</f>
        <v>12599.906000000001</v>
      </c>
      <c r="I2113" s="126" t="s">
        <v>461</v>
      </c>
      <c r="J2113" s="37">
        <f>J$13</f>
        <v>0</v>
      </c>
      <c r="K2113" s="159">
        <f t="shared" ref="K2113" si="379">J2113*H2113</f>
        <v>0</v>
      </c>
      <c r="L2113" s="213"/>
    </row>
    <row r="2114" spans="1:12" s="21" customFormat="1" x14ac:dyDescent="0.2">
      <c r="A2114" s="129">
        <f ca="1">IF(F2114&lt;&gt;"",1+MAX($A$1:A2113),"")</f>
        <v>10</v>
      </c>
      <c r="B2114" s="120" t="s">
        <v>759</v>
      </c>
      <c r="C2114" s="120"/>
      <c r="D2114" s="189"/>
      <c r="E2114" s="122" t="s">
        <v>760</v>
      </c>
      <c r="F2114" s="123">
        <f>520.77</f>
        <v>520.77</v>
      </c>
      <c r="G2114" s="124">
        <v>0.1</v>
      </c>
      <c r="H2114" s="125">
        <f t="shared" si="372"/>
        <v>572.84699999999998</v>
      </c>
      <c r="I2114" s="126" t="s">
        <v>461</v>
      </c>
      <c r="J2114" s="37">
        <f>J$24</f>
        <v>0</v>
      </c>
      <c r="K2114" s="159">
        <f t="shared" si="373"/>
        <v>0</v>
      </c>
      <c r="L2114" s="213"/>
    </row>
    <row r="2115" spans="1:12" s="21" customFormat="1" x14ac:dyDescent="0.2">
      <c r="A2115" s="129">
        <f ca="1">IF(F2115&lt;&gt;"",1+MAX($A$1:A2114),"")</f>
        <v>11</v>
      </c>
      <c r="B2115" s="120" t="s">
        <v>759</v>
      </c>
      <c r="C2115" s="120"/>
      <c r="D2115" s="189"/>
      <c r="E2115" s="122" t="s">
        <v>761</v>
      </c>
      <c r="F2115" s="123">
        <f>9.15</f>
        <v>9.15</v>
      </c>
      <c r="G2115" s="124">
        <v>0.1</v>
      </c>
      <c r="H2115" s="125">
        <f t="shared" si="372"/>
        <v>10.065000000000001</v>
      </c>
      <c r="I2115" s="126" t="s">
        <v>461</v>
      </c>
      <c r="J2115" s="37">
        <f>J$24</f>
        <v>0</v>
      </c>
      <c r="K2115" s="159">
        <f t="shared" si="373"/>
        <v>0</v>
      </c>
      <c r="L2115" s="213"/>
    </row>
    <row r="2116" spans="1:12" s="35" customFormat="1" x14ac:dyDescent="0.2">
      <c r="A2116" s="129" t="str">
        <f>IF(F2116&lt;&gt;"",1+MAX($A$1:A2115),"")</f>
        <v/>
      </c>
      <c r="B2116" s="120"/>
      <c r="C2116" s="120"/>
      <c r="D2116" s="189"/>
      <c r="E2116" s="122"/>
      <c r="F2116" s="123"/>
      <c r="G2116" s="124"/>
      <c r="H2116" s="125"/>
      <c r="I2116" s="126"/>
      <c r="J2116" s="37"/>
      <c r="K2116" s="159"/>
      <c r="L2116" s="213"/>
    </row>
    <row r="2117" spans="1:12" s="21" customFormat="1" x14ac:dyDescent="0.2">
      <c r="A2117" s="129" t="str">
        <f>IF(F2117&lt;&gt;"",1+MAX($A$1:A2116),"")</f>
        <v/>
      </c>
      <c r="B2117" s="126"/>
      <c r="C2117" s="120"/>
      <c r="D2117" s="189"/>
      <c r="E2117" s="295" t="s">
        <v>762</v>
      </c>
      <c r="F2117" s="125"/>
      <c r="G2117" s="184"/>
      <c r="H2117" s="125"/>
      <c r="I2117" s="126"/>
      <c r="J2117" s="127"/>
      <c r="K2117" s="159"/>
      <c r="L2117" s="213"/>
    </row>
    <row r="2118" spans="1:12" s="35" customFormat="1" ht="31.5" x14ac:dyDescent="0.2">
      <c r="A2118" s="129">
        <f ca="1">IF(F2118&lt;&gt;"",1+MAX($A$1:A2117),"")</f>
        <v>12</v>
      </c>
      <c r="B2118" s="120"/>
      <c r="C2118" s="120"/>
      <c r="D2118" s="189"/>
      <c r="E2118" s="122" t="s">
        <v>763</v>
      </c>
      <c r="F2118" s="123">
        <f>(F2113+F2114-F2115+F2102)/10</f>
        <v>1224.7719999999999</v>
      </c>
      <c r="G2118" s="124">
        <v>0</v>
      </c>
      <c r="H2118" s="125">
        <f t="shared" si="372"/>
        <v>1224.7719999999999</v>
      </c>
      <c r="I2118" s="126" t="s">
        <v>764</v>
      </c>
      <c r="J2118" s="37">
        <v>0</v>
      </c>
      <c r="K2118" s="159">
        <f t="shared" si="373"/>
        <v>0</v>
      </c>
      <c r="L2118" s="213"/>
    </row>
    <row r="2119" spans="1:12" s="35" customFormat="1" x14ac:dyDescent="0.2">
      <c r="A2119" s="129" t="str">
        <f>IF(F2119&lt;&gt;"",1+MAX($A$1:A2118),"")</f>
        <v/>
      </c>
      <c r="B2119" s="120"/>
      <c r="C2119" s="120"/>
      <c r="D2119" s="189"/>
      <c r="E2119" s="286" t="s">
        <v>765</v>
      </c>
      <c r="F2119" s="123"/>
      <c r="G2119" s="124"/>
      <c r="H2119" s="125"/>
      <c r="I2119" s="126"/>
      <c r="J2119" s="37"/>
      <c r="K2119" s="159"/>
      <c r="L2119" s="213"/>
    </row>
    <row r="2120" spans="1:12" s="21" customFormat="1" x14ac:dyDescent="0.2">
      <c r="A2120" s="129" t="str">
        <f>IF(F2120&lt;&gt;"",1+MAX($A$1:A2119),"")</f>
        <v/>
      </c>
      <c r="B2120" s="126"/>
      <c r="C2120" s="120"/>
      <c r="D2120" s="189"/>
      <c r="E2120" s="296"/>
      <c r="F2120" s="125"/>
      <c r="G2120" s="184"/>
      <c r="H2120" s="125"/>
      <c r="I2120" s="126"/>
      <c r="J2120" s="127"/>
      <c r="K2120" s="159"/>
      <c r="L2120" s="213"/>
    </row>
    <row r="2121" spans="1:12" s="21" customFormat="1" x14ac:dyDescent="0.2">
      <c r="A2121" s="129" t="str">
        <f>IF(F2121&lt;&gt;"",1+MAX($A$1:A2120),"")</f>
        <v/>
      </c>
      <c r="B2121" s="126"/>
      <c r="C2121" s="120"/>
      <c r="D2121" s="189"/>
      <c r="E2121" s="172" t="s">
        <v>766</v>
      </c>
      <c r="F2121" s="123"/>
      <c r="G2121" s="184"/>
      <c r="H2121" s="125"/>
      <c r="I2121" s="126"/>
      <c r="J2121" s="23"/>
      <c r="K2121" s="207"/>
      <c r="L2121" s="213"/>
    </row>
    <row r="2122" spans="1:12" s="21" customFormat="1" x14ac:dyDescent="0.2">
      <c r="A2122" s="129" t="str">
        <f>IF(F2122&lt;&gt;"",1+MAX($A$1:A2121),"")</f>
        <v/>
      </c>
      <c r="B2122" s="126"/>
      <c r="C2122" s="120"/>
      <c r="D2122" s="189"/>
      <c r="E2122" s="295" t="s">
        <v>767</v>
      </c>
      <c r="F2122" s="125"/>
      <c r="G2122" s="184"/>
      <c r="H2122" s="125"/>
      <c r="I2122" s="126"/>
      <c r="J2122" s="127"/>
      <c r="K2122" s="159"/>
      <c r="L2122" s="213"/>
    </row>
    <row r="2123" spans="1:12" s="21" customFormat="1" x14ac:dyDescent="0.2">
      <c r="A2123" s="129">
        <f ca="1">IF(F2123&lt;&gt;"",1+MAX($A$1:A2122),"")</f>
        <v>13</v>
      </c>
      <c r="B2123" s="120" t="s">
        <v>768</v>
      </c>
      <c r="C2123" s="120" t="s">
        <v>768</v>
      </c>
      <c r="D2123" s="189"/>
      <c r="E2123" s="122" t="s">
        <v>769</v>
      </c>
      <c r="F2123" s="123">
        <v>576.23</v>
      </c>
      <c r="G2123" s="124">
        <v>0.1</v>
      </c>
      <c r="H2123" s="125">
        <f t="shared" ref="H2123:H2133" si="380">F2123*(1+G2123)</f>
        <v>633.85300000000007</v>
      </c>
      <c r="I2123" s="126" t="s">
        <v>15</v>
      </c>
      <c r="J2123" s="37">
        <v>0</v>
      </c>
      <c r="K2123" s="159">
        <f t="shared" ref="K2123:K2133" si="381">J2123*H2123</f>
        <v>0</v>
      </c>
      <c r="L2123" s="213"/>
    </row>
    <row r="2124" spans="1:12" s="21" customFormat="1" x14ac:dyDescent="0.2">
      <c r="A2124" s="129" t="str">
        <f>IF(F2124&lt;&gt;"",1+MAX($A$1:A2123),"")</f>
        <v/>
      </c>
      <c r="B2124" s="126"/>
      <c r="C2124" s="120"/>
      <c r="D2124" s="189"/>
      <c r="E2124" s="295" t="s">
        <v>770</v>
      </c>
      <c r="F2124" s="125"/>
      <c r="G2124" s="184"/>
      <c r="H2124" s="125"/>
      <c r="I2124" s="126"/>
      <c r="J2124" s="127"/>
      <c r="K2124" s="159"/>
      <c r="L2124" s="213"/>
    </row>
    <row r="2125" spans="1:12" s="21" customFormat="1" x14ac:dyDescent="0.2">
      <c r="A2125" s="129">
        <f ca="1">IF(F2125&lt;&gt;"",1+MAX($A$1:A2124),"")</f>
        <v>14</v>
      </c>
      <c r="B2125" s="120" t="s">
        <v>768</v>
      </c>
      <c r="C2125" s="120" t="s">
        <v>768</v>
      </c>
      <c r="D2125" s="189"/>
      <c r="E2125" s="122" t="s">
        <v>771</v>
      </c>
      <c r="F2125" s="123">
        <v>573.78</v>
      </c>
      <c r="G2125" s="124">
        <v>0.1</v>
      </c>
      <c r="H2125" s="125">
        <f t="shared" si="380"/>
        <v>631.15800000000002</v>
      </c>
      <c r="I2125" s="126" t="s">
        <v>15</v>
      </c>
      <c r="J2125" s="37">
        <v>0</v>
      </c>
      <c r="K2125" s="159">
        <f t="shared" si="381"/>
        <v>0</v>
      </c>
      <c r="L2125" s="213"/>
    </row>
    <row r="2126" spans="1:12" s="21" customFormat="1" x14ac:dyDescent="0.2">
      <c r="A2126" s="129" t="str">
        <f>IF(F2126&lt;&gt;"",1+MAX($A$1:A2125),"")</f>
        <v/>
      </c>
      <c r="B2126" s="126"/>
      <c r="C2126" s="120"/>
      <c r="D2126" s="189"/>
      <c r="E2126" s="295" t="s">
        <v>772</v>
      </c>
      <c r="F2126" s="125"/>
      <c r="G2126" s="184"/>
      <c r="H2126" s="125"/>
      <c r="I2126" s="126"/>
      <c r="J2126" s="127"/>
      <c r="K2126" s="159"/>
      <c r="L2126" s="213"/>
    </row>
    <row r="2127" spans="1:12" s="21" customFormat="1" x14ac:dyDescent="0.2">
      <c r="A2127" s="129">
        <f ca="1">IF(F2127&lt;&gt;"",1+MAX($A$1:A2126),"")</f>
        <v>15</v>
      </c>
      <c r="B2127" s="120" t="s">
        <v>768</v>
      </c>
      <c r="C2127" s="120" t="s">
        <v>768</v>
      </c>
      <c r="D2127" s="189"/>
      <c r="E2127" s="122" t="s">
        <v>773</v>
      </c>
      <c r="F2127" s="123">
        <v>1</v>
      </c>
      <c r="G2127" s="124">
        <v>0</v>
      </c>
      <c r="H2127" s="125">
        <f t="shared" si="380"/>
        <v>1</v>
      </c>
      <c r="I2127" s="126" t="s">
        <v>20</v>
      </c>
      <c r="J2127" s="37">
        <v>0</v>
      </c>
      <c r="K2127" s="159">
        <f t="shared" si="381"/>
        <v>0</v>
      </c>
      <c r="L2127" s="213"/>
    </row>
    <row r="2128" spans="1:12" s="21" customFormat="1" x14ac:dyDescent="0.2">
      <c r="A2128" s="129" t="str">
        <f>IF(F2128&lt;&gt;"",1+MAX($A$1:A2127),"")</f>
        <v/>
      </c>
      <c r="B2128" s="126"/>
      <c r="C2128" s="120"/>
      <c r="D2128" s="189"/>
      <c r="E2128" s="295" t="s">
        <v>774</v>
      </c>
      <c r="F2128" s="125"/>
      <c r="G2128" s="184"/>
      <c r="H2128" s="125"/>
      <c r="I2128" s="126"/>
      <c r="J2128" s="127"/>
      <c r="K2128" s="159"/>
      <c r="L2128" s="213"/>
    </row>
    <row r="2129" spans="1:12" s="21" customFormat="1" x14ac:dyDescent="0.2">
      <c r="A2129" s="129">
        <f ca="1">IF(F2129&lt;&gt;"",1+MAX($A$1:A2128),"")</f>
        <v>16</v>
      </c>
      <c r="B2129" s="120" t="s">
        <v>768</v>
      </c>
      <c r="C2129" s="120" t="s">
        <v>768</v>
      </c>
      <c r="D2129" s="189"/>
      <c r="E2129" s="122" t="s">
        <v>775</v>
      </c>
      <c r="F2129" s="123">
        <v>1</v>
      </c>
      <c r="G2129" s="124">
        <v>0</v>
      </c>
      <c r="H2129" s="125">
        <f t="shared" ref="H2129:H2131" si="382">F2129*(1+G2129)</f>
        <v>1</v>
      </c>
      <c r="I2129" s="126" t="s">
        <v>20</v>
      </c>
      <c r="J2129" s="37">
        <v>0</v>
      </c>
      <c r="K2129" s="159">
        <f t="shared" ref="K2129:K2131" si="383">J2129*H2129</f>
        <v>0</v>
      </c>
      <c r="L2129" s="213"/>
    </row>
    <row r="2130" spans="1:12" s="21" customFormat="1" x14ac:dyDescent="0.2">
      <c r="A2130" s="129" t="str">
        <f>IF(F2130&lt;&gt;"",1+MAX($A$1:A2129),"")</f>
        <v/>
      </c>
      <c r="B2130" s="126"/>
      <c r="C2130" s="120"/>
      <c r="D2130" s="189"/>
      <c r="E2130" s="295" t="s">
        <v>776</v>
      </c>
      <c r="F2130" s="125"/>
      <c r="G2130" s="184"/>
      <c r="H2130" s="125"/>
      <c r="I2130" s="126"/>
      <c r="J2130" s="159"/>
      <c r="K2130" s="159"/>
      <c r="L2130" s="213"/>
    </row>
    <row r="2131" spans="1:12" s="21" customFormat="1" x14ac:dyDescent="0.2">
      <c r="A2131" s="129">
        <f ca="1">IF(F2131&lt;&gt;"",1+MAX($A$1:A2130),"")</f>
        <v>17</v>
      </c>
      <c r="B2131" s="120" t="s">
        <v>768</v>
      </c>
      <c r="C2131" s="120" t="s">
        <v>768</v>
      </c>
      <c r="D2131" s="189"/>
      <c r="E2131" s="122" t="s">
        <v>777</v>
      </c>
      <c r="F2131" s="123">
        <v>1</v>
      </c>
      <c r="G2131" s="124">
        <v>0</v>
      </c>
      <c r="H2131" s="125">
        <f t="shared" si="382"/>
        <v>1</v>
      </c>
      <c r="I2131" s="126" t="s">
        <v>20</v>
      </c>
      <c r="J2131" s="37">
        <v>0</v>
      </c>
      <c r="K2131" s="159">
        <f t="shared" si="383"/>
        <v>0</v>
      </c>
      <c r="L2131" s="213"/>
    </row>
    <row r="2132" spans="1:12" s="21" customFormat="1" x14ac:dyDescent="0.2">
      <c r="A2132" s="129" t="str">
        <f>IF(F2132&lt;&gt;"",1+MAX($A$1:A2131),"")</f>
        <v/>
      </c>
      <c r="B2132" s="126"/>
      <c r="C2132" s="120"/>
      <c r="D2132" s="189"/>
      <c r="E2132" s="295" t="s">
        <v>778</v>
      </c>
      <c r="F2132" s="125"/>
      <c r="G2132" s="184"/>
      <c r="H2132" s="125"/>
      <c r="I2132" s="126"/>
      <c r="J2132" s="127"/>
      <c r="K2132" s="159"/>
      <c r="L2132" s="213"/>
    </row>
    <row r="2133" spans="1:12" s="21" customFormat="1" x14ac:dyDescent="0.2">
      <c r="A2133" s="129">
        <f ca="1">IF(F2133&lt;&gt;"",1+MAX($A$1:A2132),"")</f>
        <v>18</v>
      </c>
      <c r="B2133" s="120" t="s">
        <v>768</v>
      </c>
      <c r="C2133" s="120" t="s">
        <v>768</v>
      </c>
      <c r="D2133" s="189"/>
      <c r="E2133" s="122" t="s">
        <v>779</v>
      </c>
      <c r="F2133" s="123">
        <v>417</v>
      </c>
      <c r="G2133" s="124">
        <v>0.1</v>
      </c>
      <c r="H2133" s="125">
        <f t="shared" si="380"/>
        <v>458.70000000000005</v>
      </c>
      <c r="I2133" s="126" t="s">
        <v>18</v>
      </c>
      <c r="J2133" s="37">
        <v>0</v>
      </c>
      <c r="K2133" s="159">
        <f t="shared" si="381"/>
        <v>0</v>
      </c>
      <c r="L2133" s="213"/>
    </row>
    <row r="2134" spans="1:12" s="21" customFormat="1" x14ac:dyDescent="0.2">
      <c r="A2134" s="129" t="str">
        <f>IF(F2134&lt;&gt;"",1+MAX($A$1:A2133),"")</f>
        <v/>
      </c>
      <c r="B2134" s="126"/>
      <c r="C2134" s="120"/>
      <c r="D2134" s="189"/>
      <c r="E2134" s="296"/>
      <c r="F2134" s="125"/>
      <c r="G2134" s="184"/>
      <c r="H2134" s="125"/>
      <c r="I2134" s="126"/>
      <c r="J2134" s="127"/>
      <c r="K2134" s="159"/>
      <c r="L2134" s="213"/>
    </row>
    <row r="2135" spans="1:12" s="21" customFormat="1" x14ac:dyDescent="0.2">
      <c r="A2135" s="129" t="str">
        <f>IF(F2135&lt;&gt;"",1+MAX($A$1:A2134),"")</f>
        <v/>
      </c>
      <c r="B2135" s="126"/>
      <c r="C2135" s="120"/>
      <c r="D2135" s="189"/>
      <c r="E2135" s="172" t="s">
        <v>780</v>
      </c>
      <c r="F2135" s="123"/>
      <c r="G2135" s="184"/>
      <c r="H2135" s="125"/>
      <c r="I2135" s="126"/>
      <c r="J2135" s="23"/>
      <c r="K2135" s="207"/>
      <c r="L2135" s="213"/>
    </row>
    <row r="2136" spans="1:12" s="21" customFormat="1" x14ac:dyDescent="0.2">
      <c r="A2136" s="129" t="str">
        <f>IF(F2136&lt;&gt;"",1+MAX($A$1:A2135),"")</f>
        <v/>
      </c>
      <c r="B2136" s="126"/>
      <c r="C2136" s="120"/>
      <c r="D2136" s="189"/>
      <c r="E2136" s="295" t="s">
        <v>767</v>
      </c>
      <c r="F2136" s="125"/>
      <c r="G2136" s="184"/>
      <c r="H2136" s="125"/>
      <c r="I2136" s="126"/>
      <c r="J2136" s="127"/>
      <c r="K2136" s="159"/>
      <c r="L2136" s="213"/>
    </row>
    <row r="2137" spans="1:12" s="21" customFormat="1" x14ac:dyDescent="0.2">
      <c r="A2137" s="129">
        <f ca="1">IF(F2137&lt;&gt;"",1+MAX($A$1:A2136),"")</f>
        <v>19</v>
      </c>
      <c r="B2137" s="120" t="s">
        <v>781</v>
      </c>
      <c r="C2137" s="120" t="s">
        <v>781</v>
      </c>
      <c r="D2137" s="297"/>
      <c r="E2137" s="122" t="s">
        <v>782</v>
      </c>
      <c r="F2137" s="123">
        <v>202</v>
      </c>
      <c r="G2137" s="124">
        <v>0.1</v>
      </c>
      <c r="H2137" s="125">
        <f>F2137*(1+G2137)</f>
        <v>222.20000000000002</v>
      </c>
      <c r="I2137" s="126" t="s">
        <v>15</v>
      </c>
      <c r="J2137" s="37">
        <f>J$34</f>
        <v>0</v>
      </c>
      <c r="K2137" s="159">
        <f>J2137*H2137</f>
        <v>0</v>
      </c>
      <c r="L2137" s="213"/>
    </row>
    <row r="2138" spans="1:12" s="21" customFormat="1" x14ac:dyDescent="0.2">
      <c r="A2138" s="129" t="str">
        <f>IF(F2138&lt;&gt;"",1+MAX($A$1:A2137),"")</f>
        <v/>
      </c>
      <c r="B2138" s="126"/>
      <c r="C2138" s="120"/>
      <c r="D2138" s="189"/>
      <c r="E2138" s="295" t="s">
        <v>770</v>
      </c>
      <c r="F2138" s="125"/>
      <c r="G2138" s="184"/>
      <c r="H2138" s="125"/>
      <c r="I2138" s="126"/>
      <c r="J2138" s="127"/>
      <c r="K2138" s="159"/>
      <c r="L2138" s="213"/>
    </row>
    <row r="2139" spans="1:12" s="21" customFormat="1" x14ac:dyDescent="0.2">
      <c r="A2139" s="129">
        <f ca="1">IF(F2139&lt;&gt;"",1+MAX($A$1:A2138),"")</f>
        <v>20</v>
      </c>
      <c r="B2139" s="120" t="s">
        <v>781</v>
      </c>
      <c r="C2139" s="120" t="s">
        <v>781</v>
      </c>
      <c r="D2139" s="297"/>
      <c r="E2139" s="122" t="s">
        <v>783</v>
      </c>
      <c r="F2139" s="123">
        <v>245</v>
      </c>
      <c r="G2139" s="124">
        <v>0.1</v>
      </c>
      <c r="H2139" s="125">
        <f t="shared" ref="H2139:H2143" si="384">F2139*(1+G2139)</f>
        <v>269.5</v>
      </c>
      <c r="I2139" s="126" t="s">
        <v>15</v>
      </c>
      <c r="J2139" s="37">
        <f>J$36</f>
        <v>0</v>
      </c>
      <c r="K2139" s="159">
        <f t="shared" ref="K2139:K2143" si="385">J2139*H2139</f>
        <v>0</v>
      </c>
      <c r="L2139" s="213"/>
    </row>
    <row r="2140" spans="1:12" s="21" customFormat="1" x14ac:dyDescent="0.2">
      <c r="A2140" s="129" t="str">
        <f>IF(F2140&lt;&gt;"",1+MAX($A$1:A2139),"")</f>
        <v/>
      </c>
      <c r="B2140" s="126"/>
      <c r="C2140" s="120"/>
      <c r="D2140" s="189"/>
      <c r="E2140" s="295" t="s">
        <v>778</v>
      </c>
      <c r="F2140" s="125"/>
      <c r="G2140" s="184"/>
      <c r="H2140" s="125"/>
      <c r="I2140" s="126"/>
      <c r="J2140" s="127"/>
      <c r="K2140" s="159"/>
      <c r="L2140" s="213"/>
    </row>
    <row r="2141" spans="1:12" s="21" customFormat="1" x14ac:dyDescent="0.2">
      <c r="A2141" s="129">
        <f ca="1">IF(F2141&lt;&gt;"",1+MAX($A$1:A2140),"")</f>
        <v>21</v>
      </c>
      <c r="B2141" s="120" t="s">
        <v>781</v>
      </c>
      <c r="C2141" s="120" t="s">
        <v>781</v>
      </c>
      <c r="D2141" s="297"/>
      <c r="E2141" s="122" t="s">
        <v>784</v>
      </c>
      <c r="F2141" s="123">
        <v>208</v>
      </c>
      <c r="G2141" s="124">
        <v>0.1</v>
      </c>
      <c r="H2141" s="125">
        <f>F2141*(1+G2141)</f>
        <v>228.8</v>
      </c>
      <c r="I2141" s="126" t="s">
        <v>18</v>
      </c>
      <c r="J2141" s="37">
        <f>J$44</f>
        <v>0</v>
      </c>
      <c r="K2141" s="159">
        <f>J2141*H2141</f>
        <v>0</v>
      </c>
      <c r="L2141" s="213"/>
    </row>
    <row r="2142" spans="1:12" s="21" customFormat="1" x14ac:dyDescent="0.2">
      <c r="A2142" s="129" t="str">
        <f>IF(F2142&lt;&gt;"",1+MAX($A$1:A2141),"")</f>
        <v/>
      </c>
      <c r="B2142" s="126"/>
      <c r="C2142" s="120"/>
      <c r="D2142" s="189"/>
      <c r="E2142" s="295" t="s">
        <v>785</v>
      </c>
      <c r="F2142" s="125"/>
      <c r="G2142" s="184"/>
      <c r="H2142" s="125"/>
      <c r="I2142" s="126"/>
      <c r="J2142" s="127"/>
      <c r="K2142" s="159"/>
      <c r="L2142" s="213"/>
    </row>
    <row r="2143" spans="1:12" s="21" customFormat="1" x14ac:dyDescent="0.2">
      <c r="A2143" s="129">
        <f ca="1">IF(F2143&lt;&gt;"",1+MAX($A$1:A2142),"")</f>
        <v>22</v>
      </c>
      <c r="B2143" s="120" t="s">
        <v>781</v>
      </c>
      <c r="C2143" s="120" t="s">
        <v>781</v>
      </c>
      <c r="D2143" s="297"/>
      <c r="E2143" s="122" t="s">
        <v>786</v>
      </c>
      <c r="F2143" s="123">
        <v>24</v>
      </c>
      <c r="G2143" s="124">
        <v>0</v>
      </c>
      <c r="H2143" s="125">
        <f t="shared" si="384"/>
        <v>24</v>
      </c>
      <c r="I2143" s="126" t="s">
        <v>20</v>
      </c>
      <c r="J2143" s="37">
        <v>0</v>
      </c>
      <c r="K2143" s="159">
        <f t="shared" si="385"/>
        <v>0</v>
      </c>
      <c r="L2143" s="213"/>
    </row>
    <row r="2144" spans="1:12" s="21" customFormat="1" ht="78.75" x14ac:dyDescent="0.2">
      <c r="A2144" s="129" t="str">
        <f>IF(F2144&lt;&gt;"",1+MAX($A$1:A2143),"")</f>
        <v/>
      </c>
      <c r="B2144" s="126"/>
      <c r="C2144" s="120"/>
      <c r="D2144" s="189"/>
      <c r="E2144" s="298" t="s">
        <v>787</v>
      </c>
      <c r="F2144" s="125"/>
      <c r="G2144" s="184"/>
      <c r="H2144" s="125"/>
      <c r="I2144" s="126"/>
      <c r="J2144" s="127"/>
      <c r="K2144" s="159"/>
      <c r="L2144" s="212"/>
    </row>
    <row r="2145" spans="1:12" s="21" customFormat="1" x14ac:dyDescent="0.2">
      <c r="A2145" s="129" t="str">
        <f>IF(F2145&lt;&gt;"",1+MAX($A$1:A2144),"")</f>
        <v/>
      </c>
      <c r="B2145" s="120"/>
      <c r="C2145" s="120"/>
      <c r="D2145" s="189"/>
      <c r="E2145" s="190" t="s">
        <v>788</v>
      </c>
      <c r="F2145" s="123"/>
      <c r="G2145" s="184"/>
      <c r="H2145" s="125"/>
      <c r="I2145" s="126"/>
      <c r="J2145" s="127"/>
      <c r="K2145" s="105"/>
      <c r="L2145" s="11">
        <f>SUM(K2097:K2144)</f>
        <v>0</v>
      </c>
    </row>
    <row r="2146" spans="1:12" s="21" customFormat="1" x14ac:dyDescent="0.2">
      <c r="A2146" s="129" t="str">
        <f>IF(F2146&lt;&gt;"",1+MAX($A$1:A2145),"")</f>
        <v/>
      </c>
      <c r="B2146" s="120"/>
      <c r="C2146" s="120"/>
      <c r="D2146" s="189"/>
      <c r="E2146" s="122"/>
      <c r="F2146" s="123"/>
      <c r="G2146" s="184"/>
      <c r="H2146" s="125"/>
      <c r="I2146" s="126"/>
      <c r="J2146" s="127"/>
      <c r="K2146" s="104"/>
      <c r="L2146" s="213"/>
    </row>
    <row r="2147" spans="1:12" s="16" customFormat="1" x14ac:dyDescent="0.2">
      <c r="A2147" s="129" t="str">
        <f>IF(F2147&lt;&gt;"",1+MAX($A$1:A2146),"")</f>
        <v/>
      </c>
      <c r="B2147" s="126"/>
      <c r="C2147" s="203"/>
      <c r="D2147" s="204" t="s">
        <v>789</v>
      </c>
      <c r="E2147" s="205" t="s">
        <v>790</v>
      </c>
      <c r="F2147" s="123"/>
      <c r="G2147" s="206"/>
      <c r="H2147" s="206"/>
      <c r="I2147" s="206"/>
      <c r="J2147" s="154"/>
      <c r="K2147" s="206"/>
      <c r="L2147" s="160"/>
    </row>
    <row r="2148" spans="1:12" s="21" customFormat="1" x14ac:dyDescent="0.2">
      <c r="A2148" s="129" t="str">
        <f>IF(F2148&lt;&gt;"",1+MAX($A$1:A2147),"")</f>
        <v/>
      </c>
      <c r="B2148" s="126"/>
      <c r="C2148" s="120"/>
      <c r="D2148" s="189"/>
      <c r="E2148" s="172" t="s">
        <v>791</v>
      </c>
      <c r="F2148" s="123"/>
      <c r="G2148" s="184"/>
      <c r="H2148" s="125"/>
      <c r="I2148" s="126"/>
      <c r="J2148" s="23"/>
      <c r="K2148" s="207"/>
      <c r="L2148" s="160"/>
    </row>
    <row r="2149" spans="1:12" s="35" customFormat="1" x14ac:dyDescent="0.2">
      <c r="A2149" s="129">
        <f ca="1">IF(F2149&lt;&gt;"",1+MAX($A$1:A2148),"")</f>
        <v>23</v>
      </c>
      <c r="B2149" s="126" t="s">
        <v>792</v>
      </c>
      <c r="C2149" s="120"/>
      <c r="D2149" s="186"/>
      <c r="E2149" s="122" t="s">
        <v>793</v>
      </c>
      <c r="F2149" s="123">
        <v>14</v>
      </c>
      <c r="G2149" s="124">
        <v>0</v>
      </c>
      <c r="H2149" s="125">
        <f t="shared" ref="H2149:H2182" si="386">F2149*(1+G2149)</f>
        <v>14</v>
      </c>
      <c r="I2149" s="126" t="s">
        <v>20</v>
      </c>
      <c r="J2149" s="37">
        <v>0</v>
      </c>
      <c r="K2149" s="159">
        <f t="shared" ref="K2149:K2182" si="387">J2149*H2149</f>
        <v>0</v>
      </c>
      <c r="L2149" s="160"/>
    </row>
    <row r="2150" spans="1:12" s="35" customFormat="1" x14ac:dyDescent="0.2">
      <c r="A2150" s="129">
        <f ca="1">IF(F2150&lt;&gt;"",1+MAX($A$1:A2149),"")</f>
        <v>24</v>
      </c>
      <c r="B2150" s="126" t="s">
        <v>792</v>
      </c>
      <c r="C2150" s="120"/>
      <c r="D2150" s="186"/>
      <c r="E2150" s="122" t="s">
        <v>794</v>
      </c>
      <c r="F2150" s="123">
        <v>86.72</v>
      </c>
      <c r="G2150" s="124">
        <v>0</v>
      </c>
      <c r="H2150" s="125">
        <f t="shared" si="386"/>
        <v>86.72</v>
      </c>
      <c r="I2150" s="126" t="s">
        <v>15</v>
      </c>
      <c r="J2150" s="37">
        <v>0</v>
      </c>
      <c r="K2150" s="159">
        <f t="shared" si="387"/>
        <v>0</v>
      </c>
      <c r="L2150" s="160"/>
    </row>
    <row r="2151" spans="1:12" s="35" customFormat="1" x14ac:dyDescent="0.2">
      <c r="A2151" s="129">
        <f ca="1">IF(F2151&lt;&gt;"",1+MAX($A$1:A2150),"")</f>
        <v>25</v>
      </c>
      <c r="B2151" s="126" t="s">
        <v>792</v>
      </c>
      <c r="C2151" s="120"/>
      <c r="D2151" s="186"/>
      <c r="E2151" s="122" t="s">
        <v>795</v>
      </c>
      <c r="F2151" s="123">
        <v>52.51</v>
      </c>
      <c r="G2151" s="124">
        <v>0</v>
      </c>
      <c r="H2151" s="125">
        <f t="shared" si="386"/>
        <v>52.51</v>
      </c>
      <c r="I2151" s="126" t="s">
        <v>15</v>
      </c>
      <c r="J2151" s="37">
        <v>0</v>
      </c>
      <c r="K2151" s="159">
        <f t="shared" si="387"/>
        <v>0</v>
      </c>
      <c r="L2151" s="160"/>
    </row>
    <row r="2152" spans="1:12" s="35" customFormat="1" x14ac:dyDescent="0.2">
      <c r="A2152" s="129">
        <f ca="1">IF(F2152&lt;&gt;"",1+MAX($A$1:A2151),"")</f>
        <v>26</v>
      </c>
      <c r="B2152" s="126" t="s">
        <v>792</v>
      </c>
      <c r="C2152" s="120"/>
      <c r="D2152" s="186"/>
      <c r="E2152" s="122" t="s">
        <v>796</v>
      </c>
      <c r="F2152" s="123">
        <v>1</v>
      </c>
      <c r="G2152" s="124">
        <v>0</v>
      </c>
      <c r="H2152" s="125">
        <f t="shared" si="386"/>
        <v>1</v>
      </c>
      <c r="I2152" s="126" t="s">
        <v>20</v>
      </c>
      <c r="J2152" s="37">
        <v>0</v>
      </c>
      <c r="K2152" s="159">
        <f t="shared" si="387"/>
        <v>0</v>
      </c>
      <c r="L2152" s="160"/>
    </row>
    <row r="2153" spans="1:12" s="35" customFormat="1" x14ac:dyDescent="0.2">
      <c r="A2153" s="129">
        <f ca="1">IF(F2153&lt;&gt;"",1+MAX($A$1:A2152),"")</f>
        <v>27</v>
      </c>
      <c r="B2153" s="126" t="s">
        <v>792</v>
      </c>
      <c r="C2153" s="120"/>
      <c r="D2153" s="120"/>
      <c r="E2153" s="122" t="s">
        <v>797</v>
      </c>
      <c r="F2153" s="123">
        <v>4</v>
      </c>
      <c r="G2153" s="124">
        <v>0</v>
      </c>
      <c r="H2153" s="125">
        <f>F2153*(1+G2153)</f>
        <v>4</v>
      </c>
      <c r="I2153" s="126" t="s">
        <v>20</v>
      </c>
      <c r="J2153" s="37">
        <v>0</v>
      </c>
      <c r="K2153" s="159">
        <f>J2153*H2153</f>
        <v>0</v>
      </c>
      <c r="L2153" s="160"/>
    </row>
    <row r="2154" spans="1:12" s="35" customFormat="1" x14ac:dyDescent="0.2">
      <c r="A2154" s="129">
        <f ca="1">IF(F2154&lt;&gt;"",1+MAX($A$1:A2153),"")</f>
        <v>28</v>
      </c>
      <c r="B2154" s="126" t="s">
        <v>792</v>
      </c>
      <c r="C2154" s="120"/>
      <c r="D2154" s="120"/>
      <c r="E2154" s="122" t="s">
        <v>798</v>
      </c>
      <c r="F2154" s="123">
        <v>2363</v>
      </c>
      <c r="G2154" s="124">
        <v>0</v>
      </c>
      <c r="H2154" s="125">
        <f>F2154*(1+G2154)</f>
        <v>2363</v>
      </c>
      <c r="I2154" s="126" t="s">
        <v>18</v>
      </c>
      <c r="J2154" s="37">
        <v>0</v>
      </c>
      <c r="K2154" s="159">
        <f>J2154*H2154</f>
        <v>0</v>
      </c>
      <c r="L2154" s="160"/>
    </row>
    <row r="2155" spans="1:12" s="35" customFormat="1" x14ac:dyDescent="0.2">
      <c r="A2155" s="129">
        <f ca="1">IF(F2155&lt;&gt;"",1+MAX($A$1:A2154),"")</f>
        <v>29</v>
      </c>
      <c r="B2155" s="126" t="s">
        <v>792</v>
      </c>
      <c r="C2155" s="120"/>
      <c r="D2155" s="120"/>
      <c r="E2155" s="122" t="s">
        <v>795</v>
      </c>
      <c r="F2155" s="123">
        <v>48.54</v>
      </c>
      <c r="G2155" s="124">
        <v>0</v>
      </c>
      <c r="H2155" s="125">
        <f>F2155*(1+G2155)</f>
        <v>48.54</v>
      </c>
      <c r="I2155" s="126" t="s">
        <v>15</v>
      </c>
      <c r="J2155" s="37">
        <f>J$62</f>
        <v>0</v>
      </c>
      <c r="K2155" s="159">
        <f>J2155*H2155</f>
        <v>0</v>
      </c>
      <c r="L2155" s="160"/>
    </row>
    <row r="2156" spans="1:12" s="35" customFormat="1" x14ac:dyDescent="0.2">
      <c r="A2156" s="129">
        <f ca="1">IF(F2156&lt;&gt;"",1+MAX($A$1:A2155),"")</f>
        <v>30</v>
      </c>
      <c r="B2156" s="126" t="s">
        <v>792</v>
      </c>
      <c r="C2156" s="120"/>
      <c r="D2156" s="186"/>
      <c r="E2156" s="122" t="s">
        <v>799</v>
      </c>
      <c r="F2156" s="123">
        <v>1.63</v>
      </c>
      <c r="G2156" s="124">
        <v>0</v>
      </c>
      <c r="H2156" s="125">
        <f t="shared" si="386"/>
        <v>1.63</v>
      </c>
      <c r="I2156" s="126" t="s">
        <v>15</v>
      </c>
      <c r="J2156" s="37">
        <f>J$62</f>
        <v>0</v>
      </c>
      <c r="K2156" s="159">
        <f t="shared" si="387"/>
        <v>0</v>
      </c>
      <c r="L2156" s="160"/>
    </row>
    <row r="2157" spans="1:12" s="35" customFormat="1" x14ac:dyDescent="0.2">
      <c r="A2157" s="129">
        <f ca="1">IF(F2157&lt;&gt;"",1+MAX($A$1:A2156),"")</f>
        <v>31</v>
      </c>
      <c r="B2157" s="126" t="s">
        <v>792</v>
      </c>
      <c r="C2157" s="120"/>
      <c r="D2157" s="186"/>
      <c r="E2157" s="122" t="s">
        <v>800</v>
      </c>
      <c r="F2157" s="123">
        <v>1</v>
      </c>
      <c r="G2157" s="124">
        <v>0</v>
      </c>
      <c r="H2157" s="125">
        <f t="shared" si="386"/>
        <v>1</v>
      </c>
      <c r="I2157" s="126" t="s">
        <v>20</v>
      </c>
      <c r="J2157" s="37">
        <v>0</v>
      </c>
      <c r="K2157" s="159">
        <f t="shared" si="387"/>
        <v>0</v>
      </c>
      <c r="L2157" s="160"/>
    </row>
    <row r="2158" spans="1:12" s="35" customFormat="1" x14ac:dyDescent="0.2">
      <c r="A2158" s="129">
        <f ca="1">IF(F2158&lt;&gt;"",1+MAX($A$1:A2157),"")</f>
        <v>32</v>
      </c>
      <c r="B2158" s="126" t="s">
        <v>792</v>
      </c>
      <c r="C2158" s="120"/>
      <c r="D2158" s="186"/>
      <c r="E2158" s="122" t="s">
        <v>795</v>
      </c>
      <c r="F2158" s="123">
        <v>5.0999999999999996</v>
      </c>
      <c r="G2158" s="124">
        <v>0</v>
      </c>
      <c r="H2158" s="125">
        <f t="shared" si="386"/>
        <v>5.0999999999999996</v>
      </c>
      <c r="I2158" s="126" t="s">
        <v>15</v>
      </c>
      <c r="J2158" s="37">
        <f>J$62</f>
        <v>0</v>
      </c>
      <c r="K2158" s="159">
        <f t="shared" si="387"/>
        <v>0</v>
      </c>
      <c r="L2158" s="160"/>
    </row>
    <row r="2159" spans="1:12" s="35" customFormat="1" x14ac:dyDescent="0.2">
      <c r="A2159" s="129">
        <f ca="1">IF(F2159&lt;&gt;"",1+MAX($A$1:A2158),"")</f>
        <v>33</v>
      </c>
      <c r="B2159" s="126" t="s">
        <v>792</v>
      </c>
      <c r="C2159" s="120"/>
      <c r="D2159" s="120"/>
      <c r="E2159" s="122" t="s">
        <v>799</v>
      </c>
      <c r="F2159" s="123">
        <v>2.65</v>
      </c>
      <c r="G2159" s="124">
        <v>0</v>
      </c>
      <c r="H2159" s="125">
        <f>F2159*(1+G2159)</f>
        <v>2.65</v>
      </c>
      <c r="I2159" s="126" t="s">
        <v>15</v>
      </c>
      <c r="J2159" s="37">
        <f>J$62</f>
        <v>0</v>
      </c>
      <c r="K2159" s="159">
        <f>J2159*H2159</f>
        <v>0</v>
      </c>
      <c r="L2159" s="160"/>
    </row>
    <row r="2160" spans="1:12" s="35" customFormat="1" x14ac:dyDescent="0.2">
      <c r="A2160" s="129">
        <f ca="1">IF(F2160&lt;&gt;"",1+MAX($A$1:A2159),"")</f>
        <v>34</v>
      </c>
      <c r="B2160" s="126" t="s">
        <v>792</v>
      </c>
      <c r="C2160" s="120"/>
      <c r="D2160" s="120"/>
      <c r="E2160" s="122" t="s">
        <v>799</v>
      </c>
      <c r="F2160" s="123">
        <v>43.88</v>
      </c>
      <c r="G2160" s="124">
        <v>0</v>
      </c>
      <c r="H2160" s="125">
        <f>F2160*(1+G2160)</f>
        <v>43.88</v>
      </c>
      <c r="I2160" s="126" t="s">
        <v>15</v>
      </c>
      <c r="J2160" s="37">
        <f>J$62</f>
        <v>0</v>
      </c>
      <c r="K2160" s="159">
        <f>J2160*H2160</f>
        <v>0</v>
      </c>
      <c r="L2160" s="160"/>
    </row>
    <row r="2161" spans="1:12" s="35" customFormat="1" x14ac:dyDescent="0.2">
      <c r="A2161" s="129">
        <f ca="1">IF(F2161&lt;&gt;"",1+MAX($A$1:A2160),"")</f>
        <v>35</v>
      </c>
      <c r="B2161" s="126" t="s">
        <v>792</v>
      </c>
      <c r="C2161" s="120"/>
      <c r="D2161" s="120"/>
      <c r="E2161" s="122" t="s">
        <v>801</v>
      </c>
      <c r="F2161" s="123">
        <v>50.13</v>
      </c>
      <c r="G2161" s="124">
        <v>0</v>
      </c>
      <c r="H2161" s="125">
        <f>F2161*(1+G2161)</f>
        <v>50.13</v>
      </c>
      <c r="I2161" s="126" t="s">
        <v>15</v>
      </c>
      <c r="J2161" s="37">
        <f>J$61</f>
        <v>0</v>
      </c>
      <c r="K2161" s="159">
        <f>J2161*H2161</f>
        <v>0</v>
      </c>
      <c r="L2161" s="160"/>
    </row>
    <row r="2162" spans="1:12" s="35" customFormat="1" x14ac:dyDescent="0.2">
      <c r="A2162" s="129">
        <f ca="1">IF(F2162&lt;&gt;"",1+MAX($A$1:A2161),"")</f>
        <v>36</v>
      </c>
      <c r="B2162" s="126" t="s">
        <v>792</v>
      </c>
      <c r="C2162" s="120"/>
      <c r="D2162" s="186"/>
      <c r="E2162" s="122" t="s">
        <v>802</v>
      </c>
      <c r="F2162" s="123">
        <v>11</v>
      </c>
      <c r="G2162" s="124">
        <v>0</v>
      </c>
      <c r="H2162" s="125">
        <f t="shared" ref="H2162:H2164" si="388">F2162*(1+G2162)</f>
        <v>11</v>
      </c>
      <c r="I2162" s="126" t="s">
        <v>18</v>
      </c>
      <c r="J2162" s="37">
        <v>0</v>
      </c>
      <c r="K2162" s="159">
        <f t="shared" ref="K2162:K2164" si="389">J2162*H2162</f>
        <v>0</v>
      </c>
      <c r="L2162" s="160"/>
    </row>
    <row r="2163" spans="1:12" s="35" customFormat="1" x14ac:dyDescent="0.2">
      <c r="A2163" s="129">
        <f ca="1">IF(F2163&lt;&gt;"",1+MAX($A$1:A2162),"")</f>
        <v>37</v>
      </c>
      <c r="B2163" s="126" t="s">
        <v>792</v>
      </c>
      <c r="C2163" s="120"/>
      <c r="D2163" s="186"/>
      <c r="E2163" s="122" t="s">
        <v>803</v>
      </c>
      <c r="F2163" s="123">
        <v>3</v>
      </c>
      <c r="G2163" s="124">
        <v>0</v>
      </c>
      <c r="H2163" s="125">
        <f t="shared" si="388"/>
        <v>3</v>
      </c>
      <c r="I2163" s="126" t="s">
        <v>20</v>
      </c>
      <c r="J2163" s="37">
        <f>J$64</f>
        <v>0</v>
      </c>
      <c r="K2163" s="159">
        <f t="shared" si="389"/>
        <v>0</v>
      </c>
      <c r="L2163" s="160"/>
    </row>
    <row r="2164" spans="1:12" s="35" customFormat="1" x14ac:dyDescent="0.2">
      <c r="A2164" s="129">
        <f ca="1">IF(F2164&lt;&gt;"",1+MAX($A$1:A2163),"")</f>
        <v>38</v>
      </c>
      <c r="B2164" s="126" t="s">
        <v>792</v>
      </c>
      <c r="C2164" s="120"/>
      <c r="D2164" s="186"/>
      <c r="E2164" s="122" t="s">
        <v>795</v>
      </c>
      <c r="F2164" s="123">
        <v>92.77</v>
      </c>
      <c r="G2164" s="124">
        <v>0</v>
      </c>
      <c r="H2164" s="125">
        <f t="shared" si="388"/>
        <v>92.77</v>
      </c>
      <c r="I2164" s="126" t="s">
        <v>15</v>
      </c>
      <c r="J2164" s="37">
        <f>J$62</f>
        <v>0</v>
      </c>
      <c r="K2164" s="159">
        <f t="shared" si="389"/>
        <v>0</v>
      </c>
      <c r="L2164" s="160"/>
    </row>
    <row r="2165" spans="1:12" s="35" customFormat="1" ht="31.5" x14ac:dyDescent="0.2">
      <c r="A2165" s="129">
        <f ca="1">IF(F2165&lt;&gt;"",1+MAX($A$1:A2164),"")</f>
        <v>39</v>
      </c>
      <c r="B2165" s="126" t="s">
        <v>792</v>
      </c>
      <c r="C2165" s="120"/>
      <c r="D2165" s="120"/>
      <c r="E2165" s="122" t="s">
        <v>1206</v>
      </c>
      <c r="F2165" s="123">
        <v>1</v>
      </c>
      <c r="G2165" s="124">
        <v>0</v>
      </c>
      <c r="H2165" s="125">
        <f>F2165*(1+G2165)</f>
        <v>1</v>
      </c>
      <c r="I2165" s="126" t="s">
        <v>756</v>
      </c>
      <c r="J2165" s="37">
        <v>0</v>
      </c>
      <c r="K2165" s="159">
        <f>J2165*H2165</f>
        <v>0</v>
      </c>
      <c r="L2165" s="160"/>
    </row>
    <row r="2166" spans="1:12" s="35" customFormat="1" x14ac:dyDescent="0.2">
      <c r="A2166" s="129">
        <f ca="1">IF(F2166&lt;&gt;"",1+MAX($A$1:A2165),"")</f>
        <v>40</v>
      </c>
      <c r="B2166" s="126" t="s">
        <v>792</v>
      </c>
      <c r="C2166" s="120"/>
      <c r="D2166" s="120"/>
      <c r="E2166" s="122" t="s">
        <v>799</v>
      </c>
      <c r="F2166" s="123">
        <v>10.55</v>
      </c>
      <c r="G2166" s="124">
        <v>0</v>
      </c>
      <c r="H2166" s="125">
        <f>F2166*(1+G2166)</f>
        <v>10.55</v>
      </c>
      <c r="I2166" s="126" t="s">
        <v>15</v>
      </c>
      <c r="J2166" s="37">
        <f>J$62</f>
        <v>0</v>
      </c>
      <c r="K2166" s="159">
        <f>J2166*H2166</f>
        <v>0</v>
      </c>
      <c r="L2166" s="160"/>
    </row>
    <row r="2167" spans="1:12" s="35" customFormat="1" x14ac:dyDescent="0.2">
      <c r="A2167" s="129">
        <f ca="1">IF(F2167&lt;&gt;"",1+MAX($A$1:A2166),"")</f>
        <v>41</v>
      </c>
      <c r="B2167" s="126" t="s">
        <v>792</v>
      </c>
      <c r="C2167" s="120"/>
      <c r="D2167" s="120"/>
      <c r="E2167" s="122" t="s">
        <v>801</v>
      </c>
      <c r="F2167" s="123">
        <v>6.03</v>
      </c>
      <c r="G2167" s="124">
        <v>0</v>
      </c>
      <c r="H2167" s="125">
        <f>F2167*(1+G2167)</f>
        <v>6.03</v>
      </c>
      <c r="I2167" s="126" t="s">
        <v>15</v>
      </c>
      <c r="J2167" s="37">
        <f>J$61</f>
        <v>0</v>
      </c>
      <c r="K2167" s="159">
        <f>J2167*H2167</f>
        <v>0</v>
      </c>
      <c r="L2167" s="160"/>
    </row>
    <row r="2168" spans="1:12" s="35" customFormat="1" x14ac:dyDescent="0.2">
      <c r="A2168" s="129">
        <f ca="1">IF(F2168&lt;&gt;"",1+MAX($A$1:A2167),"")</f>
        <v>42</v>
      </c>
      <c r="B2168" s="126" t="s">
        <v>792</v>
      </c>
      <c r="C2168" s="120"/>
      <c r="D2168" s="120"/>
      <c r="E2168" s="122" t="s">
        <v>804</v>
      </c>
      <c r="F2168" s="123">
        <f>901+1490</f>
        <v>2391</v>
      </c>
      <c r="G2168" s="124">
        <v>0</v>
      </c>
      <c r="H2168" s="125">
        <f t="shared" si="386"/>
        <v>2391</v>
      </c>
      <c r="I2168" s="126" t="s">
        <v>18</v>
      </c>
      <c r="J2168" s="37">
        <v>0</v>
      </c>
      <c r="K2168" s="159">
        <f t="shared" si="387"/>
        <v>0</v>
      </c>
      <c r="L2168" s="160"/>
    </row>
    <row r="2169" spans="1:12" s="35" customFormat="1" x14ac:dyDescent="0.2">
      <c r="A2169" s="129">
        <f ca="1">IF(F2169&lt;&gt;"",1+MAX($A$1:A2168),"")</f>
        <v>43</v>
      </c>
      <c r="B2169" s="126" t="s">
        <v>792</v>
      </c>
      <c r="C2169" s="120"/>
      <c r="D2169" s="186"/>
      <c r="E2169" s="122" t="s">
        <v>795</v>
      </c>
      <c r="F2169" s="123">
        <v>4</v>
      </c>
      <c r="G2169" s="124">
        <v>0</v>
      </c>
      <c r="H2169" s="125">
        <f>F2169*(1+G2169)</f>
        <v>4</v>
      </c>
      <c r="I2169" s="126" t="s">
        <v>15</v>
      </c>
      <c r="J2169" s="37">
        <f>J$62</f>
        <v>0</v>
      </c>
      <c r="K2169" s="159">
        <f t="shared" si="387"/>
        <v>0</v>
      </c>
      <c r="L2169" s="160"/>
    </row>
    <row r="2170" spans="1:12" s="35" customFormat="1" ht="17.25" customHeight="1" x14ac:dyDescent="0.2">
      <c r="A2170" s="129">
        <f ca="1">IF(F2170&lt;&gt;"",1+MAX($A$1:A2169),"")</f>
        <v>44</v>
      </c>
      <c r="B2170" s="126" t="s">
        <v>792</v>
      </c>
      <c r="C2170" s="120"/>
      <c r="D2170" s="186"/>
      <c r="E2170" s="122" t="s">
        <v>805</v>
      </c>
      <c r="F2170" s="123">
        <f>5947+50+732</f>
        <v>6729</v>
      </c>
      <c r="G2170" s="124">
        <v>0</v>
      </c>
      <c r="H2170" s="125">
        <f t="shared" si="386"/>
        <v>6729</v>
      </c>
      <c r="I2170" s="126" t="s">
        <v>18</v>
      </c>
      <c r="J2170" s="37">
        <v>0</v>
      </c>
      <c r="K2170" s="159">
        <f t="shared" si="387"/>
        <v>0</v>
      </c>
      <c r="L2170" s="160"/>
    </row>
    <row r="2171" spans="1:12" s="35" customFormat="1" x14ac:dyDescent="0.2">
      <c r="A2171" s="129">
        <f ca="1">IF(F2171&lt;&gt;"",1+MAX($A$1:A2170),"")</f>
        <v>45</v>
      </c>
      <c r="B2171" s="126" t="s">
        <v>792</v>
      </c>
      <c r="C2171" s="120"/>
      <c r="D2171" s="120"/>
      <c r="E2171" s="122" t="s">
        <v>795</v>
      </c>
      <c r="F2171" s="123">
        <v>43.66</v>
      </c>
      <c r="G2171" s="124">
        <v>0</v>
      </c>
      <c r="H2171" s="125">
        <f>F2171*(1+G2171)</f>
        <v>43.66</v>
      </c>
      <c r="I2171" s="126" t="s">
        <v>15</v>
      </c>
      <c r="J2171" s="37">
        <f>J$62</f>
        <v>0</v>
      </c>
      <c r="K2171" s="159">
        <f>J2171*H2171</f>
        <v>0</v>
      </c>
      <c r="L2171" s="160"/>
    </row>
    <row r="2172" spans="1:12" s="35" customFormat="1" x14ac:dyDescent="0.2">
      <c r="A2172" s="129">
        <f ca="1">IF(F2172&lt;&gt;"",1+MAX($A$1:A2171),"")</f>
        <v>46</v>
      </c>
      <c r="B2172" s="126" t="s">
        <v>792</v>
      </c>
      <c r="C2172" s="120"/>
      <c r="D2172" s="120"/>
      <c r="E2172" s="122" t="s">
        <v>798</v>
      </c>
      <c r="F2172" s="123">
        <v>69</v>
      </c>
      <c r="G2172" s="124">
        <v>0</v>
      </c>
      <c r="H2172" s="125">
        <f>F2172*(1+G2172)</f>
        <v>69</v>
      </c>
      <c r="I2172" s="126" t="s">
        <v>18</v>
      </c>
      <c r="J2172" s="37">
        <v>0</v>
      </c>
      <c r="K2172" s="159">
        <f>J2172*H2172</f>
        <v>0</v>
      </c>
      <c r="L2172" s="160"/>
    </row>
    <row r="2173" spans="1:12" s="35" customFormat="1" x14ac:dyDescent="0.2">
      <c r="A2173" s="129">
        <f ca="1">IF(F2173&lt;&gt;"",1+MAX($A$1:A2172),"")</f>
        <v>47</v>
      </c>
      <c r="B2173" s="126" t="s">
        <v>792</v>
      </c>
      <c r="C2173" s="120"/>
      <c r="D2173" s="120"/>
      <c r="E2173" s="122" t="s">
        <v>802</v>
      </c>
      <c r="F2173" s="123">
        <v>13</v>
      </c>
      <c r="G2173" s="124">
        <v>0</v>
      </c>
      <c r="H2173" s="125">
        <f>F2173*(1+G2173)</f>
        <v>13</v>
      </c>
      <c r="I2173" s="126" t="s">
        <v>18</v>
      </c>
      <c r="J2173" s="37">
        <v>0</v>
      </c>
      <c r="K2173" s="159">
        <f>J2173*H2173</f>
        <v>0</v>
      </c>
      <c r="L2173" s="160"/>
    </row>
    <row r="2174" spans="1:12" s="35" customFormat="1" x14ac:dyDescent="0.2">
      <c r="A2174" s="129">
        <f ca="1">IF(F2174&lt;&gt;"",1+MAX($A$1:A2173),"")</f>
        <v>48</v>
      </c>
      <c r="B2174" s="126" t="s">
        <v>792</v>
      </c>
      <c r="C2174" s="120"/>
      <c r="D2174" s="186"/>
      <c r="E2174" s="122" t="s">
        <v>799</v>
      </c>
      <c r="F2174" s="123">
        <v>5.16</v>
      </c>
      <c r="G2174" s="124">
        <v>0</v>
      </c>
      <c r="H2174" s="125">
        <f t="shared" ref="H2174" si="390">F2174*(1+G2174)</f>
        <v>5.16</v>
      </c>
      <c r="I2174" s="126" t="s">
        <v>15</v>
      </c>
      <c r="J2174" s="37">
        <f>J$62</f>
        <v>0</v>
      </c>
      <c r="K2174" s="159">
        <f t="shared" ref="K2174" si="391">J2174*H2174</f>
        <v>0</v>
      </c>
      <c r="L2174" s="160"/>
    </row>
    <row r="2175" spans="1:12" s="35" customFormat="1" x14ac:dyDescent="0.2">
      <c r="A2175" s="129">
        <f ca="1">IF(F2175&lt;&gt;"",1+MAX($A$1:A2174),"")</f>
        <v>49</v>
      </c>
      <c r="B2175" s="126" t="s">
        <v>792</v>
      </c>
      <c r="C2175" s="120"/>
      <c r="D2175" s="120"/>
      <c r="E2175" s="122" t="s">
        <v>800</v>
      </c>
      <c r="F2175" s="123">
        <v>1</v>
      </c>
      <c r="G2175" s="124">
        <v>0</v>
      </c>
      <c r="H2175" s="125">
        <f>F2175*(1+G2175)</f>
        <v>1</v>
      </c>
      <c r="I2175" s="126" t="s">
        <v>20</v>
      </c>
      <c r="J2175" s="37">
        <v>0</v>
      </c>
      <c r="K2175" s="159">
        <f>J2175*H2175</f>
        <v>0</v>
      </c>
      <c r="L2175" s="160"/>
    </row>
    <row r="2176" spans="1:12" s="35" customFormat="1" x14ac:dyDescent="0.2">
      <c r="A2176" s="129">
        <f ca="1">IF(F2176&lt;&gt;"",1+MAX($A$1:A2175),"")</f>
        <v>50</v>
      </c>
      <c r="B2176" s="126" t="s">
        <v>792</v>
      </c>
      <c r="C2176" s="120"/>
      <c r="D2176" s="120"/>
      <c r="E2176" s="122" t="s">
        <v>795</v>
      </c>
      <c r="F2176" s="123">
        <v>3.78</v>
      </c>
      <c r="G2176" s="124">
        <v>0</v>
      </c>
      <c r="H2176" s="125">
        <f>F2176*(1+G2176)</f>
        <v>3.78</v>
      </c>
      <c r="I2176" s="126" t="s">
        <v>15</v>
      </c>
      <c r="J2176" s="37">
        <f t="shared" ref="J2176:J2180" si="392">J$62</f>
        <v>0</v>
      </c>
      <c r="K2176" s="159">
        <f>J2176*H2176</f>
        <v>0</v>
      </c>
      <c r="L2176" s="160"/>
    </row>
    <row r="2177" spans="1:12" s="35" customFormat="1" x14ac:dyDescent="0.2">
      <c r="A2177" s="129">
        <f ca="1">IF(F2177&lt;&gt;"",1+MAX($A$1:A2176),"")</f>
        <v>51</v>
      </c>
      <c r="B2177" s="126" t="s">
        <v>792</v>
      </c>
      <c r="C2177" s="120"/>
      <c r="D2177" s="120"/>
      <c r="E2177" s="122" t="s">
        <v>795</v>
      </c>
      <c r="F2177" s="123">
        <v>449.31</v>
      </c>
      <c r="G2177" s="124">
        <v>0</v>
      </c>
      <c r="H2177" s="125">
        <f>F2177*(1+G2177)</f>
        <v>449.31</v>
      </c>
      <c r="I2177" s="126" t="s">
        <v>15</v>
      </c>
      <c r="J2177" s="37">
        <f t="shared" si="392"/>
        <v>0</v>
      </c>
      <c r="K2177" s="159">
        <f>J2177*H2177</f>
        <v>0</v>
      </c>
      <c r="L2177" s="160"/>
    </row>
    <row r="2178" spans="1:12" s="35" customFormat="1" x14ac:dyDescent="0.2">
      <c r="A2178" s="129">
        <f ca="1">IF(F2178&lt;&gt;"",1+MAX($A$1:A2177),"")</f>
        <v>52</v>
      </c>
      <c r="B2178" s="126" t="s">
        <v>792</v>
      </c>
      <c r="C2178" s="120"/>
      <c r="D2178" s="186"/>
      <c r="E2178" s="122" t="s">
        <v>795</v>
      </c>
      <c r="F2178" s="123">
        <v>34.79</v>
      </c>
      <c r="G2178" s="124">
        <v>0</v>
      </c>
      <c r="H2178" s="125">
        <f t="shared" si="386"/>
        <v>34.79</v>
      </c>
      <c r="I2178" s="126" t="s">
        <v>15</v>
      </c>
      <c r="J2178" s="37">
        <f t="shared" si="392"/>
        <v>0</v>
      </c>
      <c r="K2178" s="159">
        <f t="shared" si="387"/>
        <v>0</v>
      </c>
      <c r="L2178" s="160"/>
    </row>
    <row r="2179" spans="1:12" s="35" customFormat="1" x14ac:dyDescent="0.2">
      <c r="A2179" s="129">
        <f ca="1">IF(F2179&lt;&gt;"",1+MAX($A$1:A2178),"")</f>
        <v>53</v>
      </c>
      <c r="B2179" s="126" t="s">
        <v>792</v>
      </c>
      <c r="C2179" s="120"/>
      <c r="D2179" s="186"/>
      <c r="E2179" s="122" t="s">
        <v>799</v>
      </c>
      <c r="F2179" s="123">
        <v>72.28</v>
      </c>
      <c r="G2179" s="124">
        <v>0</v>
      </c>
      <c r="H2179" s="125">
        <f t="shared" si="386"/>
        <v>72.28</v>
      </c>
      <c r="I2179" s="126" t="s">
        <v>15</v>
      </c>
      <c r="J2179" s="37">
        <f t="shared" si="392"/>
        <v>0</v>
      </c>
      <c r="K2179" s="159">
        <f t="shared" si="387"/>
        <v>0</v>
      </c>
      <c r="L2179" s="160"/>
    </row>
    <row r="2180" spans="1:12" s="35" customFormat="1" x14ac:dyDescent="0.2">
      <c r="A2180" s="129">
        <f ca="1">IF(F2180&lt;&gt;"",1+MAX($A$1:A2179),"")</f>
        <v>54</v>
      </c>
      <c r="B2180" s="126" t="s">
        <v>792</v>
      </c>
      <c r="C2180" s="120"/>
      <c r="D2180" s="120"/>
      <c r="E2180" s="122" t="s">
        <v>795</v>
      </c>
      <c r="F2180" s="123">
        <v>154.04</v>
      </c>
      <c r="G2180" s="124">
        <v>0</v>
      </c>
      <c r="H2180" s="125">
        <f>F2180*(1+G2180)</f>
        <v>154.04</v>
      </c>
      <c r="I2180" s="126" t="s">
        <v>15</v>
      </c>
      <c r="J2180" s="37">
        <f t="shared" si="392"/>
        <v>0</v>
      </c>
      <c r="K2180" s="159">
        <f>J2180*H2180</f>
        <v>0</v>
      </c>
      <c r="L2180" s="160"/>
    </row>
    <row r="2181" spans="1:12" s="35" customFormat="1" x14ac:dyDescent="0.2">
      <c r="A2181" s="129">
        <f ca="1">IF(F2181&lt;&gt;"",1+MAX($A$1:A2180),"")</f>
        <v>55</v>
      </c>
      <c r="B2181" s="126" t="s">
        <v>792</v>
      </c>
      <c r="C2181" s="120"/>
      <c r="D2181" s="120"/>
      <c r="E2181" s="122" t="s">
        <v>794</v>
      </c>
      <c r="F2181" s="123">
        <v>50.27</v>
      </c>
      <c r="G2181" s="124">
        <v>0</v>
      </c>
      <c r="H2181" s="125">
        <f>F2181*(1+G2181)</f>
        <v>50.27</v>
      </c>
      <c r="I2181" s="126" t="s">
        <v>15</v>
      </c>
      <c r="J2181" s="37">
        <f>J$61</f>
        <v>0</v>
      </c>
      <c r="K2181" s="159">
        <f>J2181*H2181</f>
        <v>0</v>
      </c>
      <c r="L2181" s="160"/>
    </row>
    <row r="2182" spans="1:12" s="35" customFormat="1" x14ac:dyDescent="0.2">
      <c r="A2182" s="129">
        <f ca="1">IF(F2182&lt;&gt;"",1+MAX($A$1:A2181),"")</f>
        <v>56</v>
      </c>
      <c r="B2182" s="126" t="s">
        <v>792</v>
      </c>
      <c r="C2182" s="120"/>
      <c r="D2182" s="186"/>
      <c r="E2182" s="122" t="s">
        <v>806</v>
      </c>
      <c r="F2182" s="123">
        <v>3</v>
      </c>
      <c r="G2182" s="124">
        <v>0</v>
      </c>
      <c r="H2182" s="125">
        <f t="shared" si="386"/>
        <v>3</v>
      </c>
      <c r="I2182" s="126" t="s">
        <v>20</v>
      </c>
      <c r="J2182" s="37">
        <v>0</v>
      </c>
      <c r="K2182" s="159">
        <f t="shared" si="387"/>
        <v>0</v>
      </c>
      <c r="L2182" s="160"/>
    </row>
    <row r="2183" spans="1:12" s="35" customFormat="1" x14ac:dyDescent="0.2">
      <c r="A2183" s="129">
        <f ca="1">IF(F2183&lt;&gt;"",1+MAX($A$1:A2182),"")</f>
        <v>57</v>
      </c>
      <c r="B2183" s="126" t="s">
        <v>792</v>
      </c>
      <c r="C2183" s="120"/>
      <c r="D2183" s="120"/>
      <c r="E2183" s="122" t="s">
        <v>795</v>
      </c>
      <c r="F2183" s="123">
        <v>66.06</v>
      </c>
      <c r="G2183" s="124">
        <v>0</v>
      </c>
      <c r="H2183" s="125">
        <f>F2183*(1+G2183)</f>
        <v>66.06</v>
      </c>
      <c r="I2183" s="126" t="s">
        <v>15</v>
      </c>
      <c r="J2183" s="37">
        <f t="shared" ref="J2183:J2184" si="393">J$62</f>
        <v>0</v>
      </c>
      <c r="K2183" s="159">
        <f>J2183*H2183</f>
        <v>0</v>
      </c>
      <c r="L2183" s="160"/>
    </row>
    <row r="2184" spans="1:12" s="35" customFormat="1" x14ac:dyDescent="0.2">
      <c r="A2184" s="129">
        <f ca="1">IF(F2184&lt;&gt;"",1+MAX($A$1:A2183),"")</f>
        <v>58</v>
      </c>
      <c r="B2184" s="126" t="s">
        <v>792</v>
      </c>
      <c r="C2184" s="120"/>
      <c r="D2184" s="120"/>
      <c r="E2184" s="122" t="s">
        <v>799</v>
      </c>
      <c r="F2184" s="123">
        <v>10.38</v>
      </c>
      <c r="G2184" s="124">
        <v>0</v>
      </c>
      <c r="H2184" s="125">
        <f>F2184*(1+G2184)</f>
        <v>10.38</v>
      </c>
      <c r="I2184" s="126" t="s">
        <v>15</v>
      </c>
      <c r="J2184" s="37">
        <f t="shared" si="393"/>
        <v>0</v>
      </c>
      <c r="K2184" s="159">
        <f>J2184*H2184</f>
        <v>0</v>
      </c>
      <c r="L2184" s="160"/>
    </row>
    <row r="2185" spans="1:12" s="35" customFormat="1" x14ac:dyDescent="0.2">
      <c r="A2185" s="129">
        <f ca="1">IF(F2185&lt;&gt;"",1+MAX($A$1:A2184),"")</f>
        <v>59</v>
      </c>
      <c r="B2185" s="126" t="s">
        <v>792</v>
      </c>
      <c r="C2185" s="120"/>
      <c r="D2185" s="120"/>
      <c r="E2185" s="122" t="s">
        <v>801</v>
      </c>
      <c r="F2185" s="123">
        <v>8.34</v>
      </c>
      <c r="G2185" s="124">
        <v>0</v>
      </c>
      <c r="H2185" s="125">
        <f>F2185*(1+G2185)</f>
        <v>8.34</v>
      </c>
      <c r="I2185" s="126" t="s">
        <v>15</v>
      </c>
      <c r="J2185" s="37">
        <f>J$61</f>
        <v>0</v>
      </c>
      <c r="K2185" s="159">
        <f>J2185*H2185</f>
        <v>0</v>
      </c>
      <c r="L2185" s="160"/>
    </row>
    <row r="2186" spans="1:12" s="35" customFormat="1" x14ac:dyDescent="0.2">
      <c r="A2186" s="129">
        <f ca="1">IF(F2186&lt;&gt;"",1+MAX($A$1:A2185),"")</f>
        <v>60</v>
      </c>
      <c r="B2186" s="126" t="s">
        <v>807</v>
      </c>
      <c r="C2186" s="120"/>
      <c r="D2186" s="186"/>
      <c r="E2186" s="122" t="s">
        <v>808</v>
      </c>
      <c r="F2186" s="123">
        <v>2</v>
      </c>
      <c r="G2186" s="124">
        <v>0</v>
      </c>
      <c r="H2186" s="125">
        <f t="shared" ref="H2186" si="394">F2186*(1+G2186)</f>
        <v>2</v>
      </c>
      <c r="I2186" s="126" t="s">
        <v>20</v>
      </c>
      <c r="J2186" s="37">
        <v>0</v>
      </c>
      <c r="K2186" s="159">
        <f t="shared" ref="K2186" si="395">J2186*H2186</f>
        <v>0</v>
      </c>
      <c r="L2186" s="160"/>
    </row>
    <row r="2187" spans="1:12" s="35" customFormat="1" x14ac:dyDescent="0.2">
      <c r="A2187" s="129">
        <f ca="1">IF(F2187&lt;&gt;"",1+MAX($A$1:A2186),"")</f>
        <v>61</v>
      </c>
      <c r="B2187" s="126" t="s">
        <v>807</v>
      </c>
      <c r="C2187" s="120"/>
      <c r="D2187" s="120"/>
      <c r="E2187" s="122" t="s">
        <v>809</v>
      </c>
      <c r="F2187" s="123">
        <v>3</v>
      </c>
      <c r="G2187" s="124">
        <v>0</v>
      </c>
      <c r="H2187" s="125">
        <f>F2187*(1+G2187)</f>
        <v>3</v>
      </c>
      <c r="I2187" s="126" t="s">
        <v>20</v>
      </c>
      <c r="J2187" s="37">
        <v>0</v>
      </c>
      <c r="K2187" s="159">
        <f>J2187*H2187</f>
        <v>0</v>
      </c>
      <c r="L2187" s="160"/>
    </row>
    <row r="2188" spans="1:12" s="35" customFormat="1" x14ac:dyDescent="0.2">
      <c r="A2188" s="129">
        <f ca="1">IF(F2188&lt;&gt;"",1+MAX($A$1:A2187),"")</f>
        <v>62</v>
      </c>
      <c r="B2188" s="126" t="s">
        <v>810</v>
      </c>
      <c r="C2188" s="120"/>
      <c r="D2188" s="120"/>
      <c r="E2188" s="122" t="s">
        <v>811</v>
      </c>
      <c r="F2188" s="123">
        <v>164.53</v>
      </c>
      <c r="G2188" s="124">
        <v>0</v>
      </c>
      <c r="H2188" s="125">
        <f>F2188*(1+G2188)</f>
        <v>164.53</v>
      </c>
      <c r="I2188" s="126" t="s">
        <v>15</v>
      </c>
      <c r="J2188" s="37">
        <v>0</v>
      </c>
      <c r="K2188" s="159">
        <f>J2188*H2188</f>
        <v>0</v>
      </c>
      <c r="L2188" s="160"/>
    </row>
    <row r="2189" spans="1:12" s="35" customFormat="1" x14ac:dyDescent="0.2">
      <c r="A2189" s="129">
        <f ca="1">IF(F2189&lt;&gt;"",1+MAX($A$1:A2188),"")</f>
        <v>63</v>
      </c>
      <c r="B2189" s="126" t="s">
        <v>812</v>
      </c>
      <c r="C2189" s="120"/>
      <c r="D2189" s="120"/>
      <c r="E2189" s="122" t="s">
        <v>813</v>
      </c>
      <c r="F2189" s="123">
        <v>468</v>
      </c>
      <c r="G2189" s="124">
        <v>0</v>
      </c>
      <c r="H2189" s="125">
        <f>F2189*(1+G2189)</f>
        <v>468</v>
      </c>
      <c r="I2189" s="126" t="s">
        <v>18</v>
      </c>
      <c r="J2189" s="37">
        <v>0</v>
      </c>
      <c r="K2189" s="159">
        <f>J2189*H2189</f>
        <v>0</v>
      </c>
      <c r="L2189" s="160"/>
    </row>
    <row r="2190" spans="1:12" s="35" customFormat="1" x14ac:dyDescent="0.2">
      <c r="A2190" s="129">
        <f ca="1">IF(F2190&lt;&gt;"",1+MAX($A$1:A2189),"")</f>
        <v>64</v>
      </c>
      <c r="B2190" s="126" t="s">
        <v>812</v>
      </c>
      <c r="C2190" s="120"/>
      <c r="D2190" s="186"/>
      <c r="E2190" s="122" t="s">
        <v>814</v>
      </c>
      <c r="F2190" s="123">
        <v>1</v>
      </c>
      <c r="G2190" s="124">
        <v>0</v>
      </c>
      <c r="H2190" s="125">
        <f t="shared" ref="H2190" si="396">F2190*(1+G2190)</f>
        <v>1</v>
      </c>
      <c r="I2190" s="126" t="s">
        <v>20</v>
      </c>
      <c r="J2190" s="37">
        <v>0</v>
      </c>
      <c r="K2190" s="159">
        <f t="shared" ref="K2190" si="397">J2190*H2190</f>
        <v>0</v>
      </c>
      <c r="L2190" s="160"/>
    </row>
    <row r="2191" spans="1:12" s="35" customFormat="1" x14ac:dyDescent="0.2">
      <c r="A2191" s="129">
        <f ca="1">IF(F2191&lt;&gt;"",1+MAX($A$1:A2190),"")</f>
        <v>65</v>
      </c>
      <c r="B2191" s="126" t="s">
        <v>812</v>
      </c>
      <c r="C2191" s="120"/>
      <c r="D2191" s="120"/>
      <c r="E2191" s="122" t="s">
        <v>815</v>
      </c>
      <c r="F2191" s="123">
        <v>6794</v>
      </c>
      <c r="G2191" s="124">
        <v>0</v>
      </c>
      <c r="H2191" s="125">
        <f>F2191*(1+G2191)</f>
        <v>6794</v>
      </c>
      <c r="I2191" s="126" t="s">
        <v>18</v>
      </c>
      <c r="J2191" s="37">
        <v>0</v>
      </c>
      <c r="K2191" s="159">
        <f>J2191*H2191</f>
        <v>0</v>
      </c>
      <c r="L2191" s="160"/>
    </row>
    <row r="2192" spans="1:12" s="35" customFormat="1" x14ac:dyDescent="0.2">
      <c r="A2192" s="129">
        <f ca="1">IF(F2192&lt;&gt;"",1+MAX($A$1:A2191),"")</f>
        <v>66</v>
      </c>
      <c r="B2192" s="126" t="s">
        <v>812</v>
      </c>
      <c r="C2192" s="120"/>
      <c r="D2192" s="120"/>
      <c r="E2192" s="122" t="s">
        <v>816</v>
      </c>
      <c r="F2192" s="123">
        <v>258.93</v>
      </c>
      <c r="G2192" s="124">
        <v>0</v>
      </c>
      <c r="H2192" s="125">
        <f>F2192*(1+G2192)</f>
        <v>258.93</v>
      </c>
      <c r="I2192" s="126" t="s">
        <v>15</v>
      </c>
      <c r="J2192" s="37">
        <v>0</v>
      </c>
      <c r="K2192" s="159">
        <f>J2192*H2192</f>
        <v>0</v>
      </c>
      <c r="L2192" s="160"/>
    </row>
    <row r="2193" spans="1:12" s="35" customFormat="1" x14ac:dyDescent="0.2">
      <c r="A2193" s="129">
        <f ca="1">IF(F2193&lt;&gt;"",1+MAX($A$1:A2192),"")</f>
        <v>67</v>
      </c>
      <c r="B2193" s="126" t="s">
        <v>812</v>
      </c>
      <c r="C2193" s="120"/>
      <c r="D2193" s="120"/>
      <c r="E2193" s="122" t="s">
        <v>817</v>
      </c>
      <c r="F2193" s="123">
        <v>2088</v>
      </c>
      <c r="G2193" s="124">
        <v>0</v>
      </c>
      <c r="H2193" s="125">
        <f>F2193*(1+G2193)</f>
        <v>2088</v>
      </c>
      <c r="I2193" s="126" t="s">
        <v>18</v>
      </c>
      <c r="J2193" s="37">
        <v>0</v>
      </c>
      <c r="K2193" s="159">
        <f>J2193*H2193</f>
        <v>0</v>
      </c>
      <c r="L2193" s="160"/>
    </row>
    <row r="2194" spans="1:12" s="35" customFormat="1" x14ac:dyDescent="0.2">
      <c r="A2194" s="129">
        <f ca="1">IF(F2194&lt;&gt;"",1+MAX($A$1:A2193),"")</f>
        <v>68</v>
      </c>
      <c r="B2194" s="126" t="s">
        <v>812</v>
      </c>
      <c r="C2194" s="120"/>
      <c r="D2194" s="120"/>
      <c r="E2194" s="122" t="s">
        <v>818</v>
      </c>
      <c r="F2194" s="123">
        <v>134.66999999999999</v>
      </c>
      <c r="G2194" s="124">
        <v>0</v>
      </c>
      <c r="H2194" s="125">
        <f>F2194*(1+G2194)</f>
        <v>134.66999999999999</v>
      </c>
      <c r="I2194" s="126" t="s">
        <v>15</v>
      </c>
      <c r="J2194" s="37">
        <v>0</v>
      </c>
      <c r="K2194" s="159">
        <f>J2194*H2194</f>
        <v>0</v>
      </c>
      <c r="L2194" s="160"/>
    </row>
    <row r="2195" spans="1:12" s="35" customFormat="1" x14ac:dyDescent="0.2">
      <c r="A2195" s="129">
        <f ca="1">IF(F2195&lt;&gt;"",1+MAX($A$1:A2194),"")</f>
        <v>69</v>
      </c>
      <c r="B2195" s="126" t="s">
        <v>812</v>
      </c>
      <c r="C2195" s="120"/>
      <c r="D2195" s="120"/>
      <c r="E2195" s="122" t="s">
        <v>819</v>
      </c>
      <c r="F2195" s="123">
        <v>1</v>
      </c>
      <c r="G2195" s="124">
        <v>0</v>
      </c>
      <c r="H2195" s="125">
        <f>F2195*(1+G2195)</f>
        <v>1</v>
      </c>
      <c r="I2195" s="126" t="s">
        <v>27</v>
      </c>
      <c r="J2195" s="37">
        <v>0</v>
      </c>
      <c r="K2195" s="159">
        <f>J2195*H2195</f>
        <v>0</v>
      </c>
      <c r="L2195" s="160"/>
    </row>
    <row r="2196" spans="1:12" s="35" customFormat="1" x14ac:dyDescent="0.2">
      <c r="A2196" s="129" t="str">
        <f>IF(F2196&lt;&gt;"",1+MAX($A$1:A2195),"")</f>
        <v/>
      </c>
      <c r="B2196" s="126"/>
      <c r="C2196" s="120"/>
      <c r="D2196" s="120"/>
      <c r="E2196" s="172" t="s">
        <v>820</v>
      </c>
      <c r="F2196" s="123"/>
      <c r="G2196" s="124"/>
      <c r="H2196" s="125"/>
      <c r="I2196" s="126"/>
      <c r="J2196" s="126"/>
      <c r="K2196" s="159"/>
      <c r="L2196" s="160"/>
    </row>
    <row r="2197" spans="1:12" s="35" customFormat="1" x14ac:dyDescent="0.2">
      <c r="A2197" s="129">
        <f ca="1">IF(F2197&lt;&gt;"",1+MAX($A$1:A2196),"")</f>
        <v>70</v>
      </c>
      <c r="B2197" s="126" t="s">
        <v>812</v>
      </c>
      <c r="C2197" s="120"/>
      <c r="D2197" s="120"/>
      <c r="E2197" s="122" t="s">
        <v>821</v>
      </c>
      <c r="F2197" s="123">
        <v>1</v>
      </c>
      <c r="G2197" s="124">
        <v>0</v>
      </c>
      <c r="H2197" s="125">
        <f>F2197*(1+G2197)</f>
        <v>1</v>
      </c>
      <c r="I2197" s="126" t="s">
        <v>27</v>
      </c>
      <c r="J2197" s="37">
        <v>0</v>
      </c>
      <c r="K2197" s="159">
        <f>J2197*H2197</f>
        <v>0</v>
      </c>
      <c r="L2197" s="160"/>
    </row>
    <row r="2198" spans="1:12" s="35" customFormat="1" x14ac:dyDescent="0.2">
      <c r="A2198" s="129">
        <f ca="1">IF(F2198&lt;&gt;"",1+MAX($A$1:A2197),"")</f>
        <v>71</v>
      </c>
      <c r="B2198" s="126" t="s">
        <v>812</v>
      </c>
      <c r="C2198" s="120"/>
      <c r="D2198" s="120"/>
      <c r="E2198" s="122" t="s">
        <v>822</v>
      </c>
      <c r="F2198" s="123">
        <v>1</v>
      </c>
      <c r="G2198" s="124">
        <v>0</v>
      </c>
      <c r="H2198" s="125">
        <f>F2198*(1+G2198)</f>
        <v>1</v>
      </c>
      <c r="I2198" s="126" t="s">
        <v>20</v>
      </c>
      <c r="J2198" s="37"/>
      <c r="K2198" s="159"/>
      <c r="L2198" s="160"/>
    </row>
    <row r="2199" spans="1:12" s="35" customFormat="1" x14ac:dyDescent="0.2">
      <c r="A2199" s="129">
        <f ca="1">IF(F2199&lt;&gt;"",1+MAX($A$1:A2198),"")</f>
        <v>72</v>
      </c>
      <c r="B2199" s="126" t="s">
        <v>823</v>
      </c>
      <c r="C2199" s="120"/>
      <c r="D2199" s="120"/>
      <c r="E2199" s="122" t="s">
        <v>824</v>
      </c>
      <c r="F2199" s="123">
        <v>2</v>
      </c>
      <c r="G2199" s="124">
        <v>0</v>
      </c>
      <c r="H2199" s="125">
        <f>F2199*(1+G2199)</f>
        <v>2</v>
      </c>
      <c r="I2199" s="126" t="s">
        <v>20</v>
      </c>
      <c r="J2199" s="37"/>
      <c r="K2199" s="159"/>
      <c r="L2199" s="160"/>
    </row>
    <row r="2200" spans="1:12" s="35" customFormat="1" x14ac:dyDescent="0.2">
      <c r="A2200" s="129">
        <f ca="1">IF(F2200&lt;&gt;"",1+MAX($A$1:A2199),"")</f>
        <v>73</v>
      </c>
      <c r="B2200" s="126" t="s">
        <v>823</v>
      </c>
      <c r="C2200" s="120"/>
      <c r="D2200" s="120"/>
      <c r="E2200" s="122" t="s">
        <v>825</v>
      </c>
      <c r="F2200" s="123">
        <v>5</v>
      </c>
      <c r="G2200" s="124">
        <v>0</v>
      </c>
      <c r="H2200" s="125">
        <f>F2200*(1+G2200)</f>
        <v>5</v>
      </c>
      <c r="I2200" s="126" t="s">
        <v>20</v>
      </c>
      <c r="J2200" s="37"/>
      <c r="K2200" s="159"/>
      <c r="L2200" s="160"/>
    </row>
    <row r="2201" spans="1:12" s="35" customFormat="1" x14ac:dyDescent="0.2">
      <c r="A2201" s="129" t="str">
        <f>IF(F2201&lt;&gt;"",1+MAX($A$1:A2200),"")</f>
        <v/>
      </c>
      <c r="B2201" s="126"/>
      <c r="C2201" s="120"/>
      <c r="D2201" s="120"/>
      <c r="E2201" s="172" t="s">
        <v>826</v>
      </c>
      <c r="F2201" s="123"/>
      <c r="G2201" s="124"/>
      <c r="H2201" s="125"/>
      <c r="I2201" s="126"/>
      <c r="J2201" s="126"/>
      <c r="K2201" s="159"/>
      <c r="L2201" s="160"/>
    </row>
    <row r="2202" spans="1:12" s="35" customFormat="1" x14ac:dyDescent="0.2">
      <c r="A2202" s="129">
        <f ca="1">IF(F2202&lt;&gt;"",1+MAX($A$1:A2201),"")</f>
        <v>74</v>
      </c>
      <c r="B2202" s="126" t="s">
        <v>807</v>
      </c>
      <c r="C2202" s="120"/>
      <c r="D2202" s="120"/>
      <c r="E2202" s="122" t="s">
        <v>827</v>
      </c>
      <c r="F2202" s="123">
        <v>1</v>
      </c>
      <c r="G2202" s="124">
        <v>0</v>
      </c>
      <c r="H2202" s="125">
        <f>F2202*(1+G2202)</f>
        <v>1</v>
      </c>
      <c r="I2202" s="126" t="s">
        <v>756</v>
      </c>
      <c r="J2202" s="37">
        <v>0</v>
      </c>
      <c r="K2202" s="159">
        <f>J2202*H2202</f>
        <v>0</v>
      </c>
      <c r="L2202" s="160"/>
    </row>
    <row r="2203" spans="1:12" s="35" customFormat="1" x14ac:dyDescent="0.2">
      <c r="A2203" s="129">
        <f ca="1">IF(F2203&lt;&gt;"",1+MAX($A$1:A2202),"")</f>
        <v>75</v>
      </c>
      <c r="B2203" s="126" t="s">
        <v>807</v>
      </c>
      <c r="C2203" s="120"/>
      <c r="D2203" s="120"/>
      <c r="E2203" s="122" t="s">
        <v>828</v>
      </c>
      <c r="F2203" s="123">
        <v>1</v>
      </c>
      <c r="G2203" s="124">
        <v>0</v>
      </c>
      <c r="H2203" s="125">
        <f>F2203*(1+G2203)</f>
        <v>1</v>
      </c>
      <c r="I2203" s="126" t="s">
        <v>756</v>
      </c>
      <c r="J2203" s="37">
        <v>0</v>
      </c>
      <c r="K2203" s="159">
        <f>J2203*H2203</f>
        <v>0</v>
      </c>
      <c r="L2203" s="160"/>
    </row>
    <row r="2204" spans="1:12" s="35" customFormat="1" x14ac:dyDescent="0.2">
      <c r="A2204" s="129" t="str">
        <f>IF(F2204&lt;&gt;"",1+MAX($A$1:A2203),"")</f>
        <v/>
      </c>
      <c r="B2204" s="126"/>
      <c r="C2204" s="120"/>
      <c r="D2204" s="120"/>
      <c r="E2204" s="172" t="s">
        <v>829</v>
      </c>
      <c r="F2204" s="123"/>
      <c r="G2204" s="124"/>
      <c r="H2204" s="125"/>
      <c r="I2204" s="126"/>
      <c r="J2204" s="126"/>
      <c r="K2204" s="159"/>
      <c r="L2204" s="160"/>
    </row>
    <row r="2205" spans="1:12" s="35" customFormat="1" x14ac:dyDescent="0.2">
      <c r="A2205" s="129">
        <f ca="1">IF(F2205&lt;&gt;"",1+MAX($A$1:A2204),"")</f>
        <v>76</v>
      </c>
      <c r="B2205" s="126" t="s">
        <v>807</v>
      </c>
      <c r="C2205" s="120"/>
      <c r="D2205" s="120"/>
      <c r="E2205" s="122" t="s">
        <v>830</v>
      </c>
      <c r="F2205" s="123">
        <f>331.72+349.85</f>
        <v>681.57</v>
      </c>
      <c r="G2205" s="124">
        <v>0.1</v>
      </c>
      <c r="H2205" s="125">
        <f>F2205*(1+G2205)</f>
        <v>749.72700000000009</v>
      </c>
      <c r="I2205" s="126" t="s">
        <v>15</v>
      </c>
      <c r="J2205" s="37">
        <v>0</v>
      </c>
      <c r="K2205" s="159">
        <f>J2205*H2205</f>
        <v>0</v>
      </c>
      <c r="L2205" s="160"/>
    </row>
    <row r="2206" spans="1:12" s="35" customFormat="1" x14ac:dyDescent="0.2">
      <c r="A2206" s="129">
        <f ca="1">IF(F2206&lt;&gt;"",1+MAX($A$1:A2205),"")</f>
        <v>77</v>
      </c>
      <c r="B2206" s="126" t="s">
        <v>807</v>
      </c>
      <c r="C2206" s="120"/>
      <c r="D2206" s="120"/>
      <c r="E2206" s="122" t="s">
        <v>831</v>
      </c>
      <c r="F2206" s="123">
        <v>1411</v>
      </c>
      <c r="G2206" s="124">
        <v>0.1</v>
      </c>
      <c r="H2206" s="125">
        <f>F2206*(1+G2206)</f>
        <v>1552.1000000000001</v>
      </c>
      <c r="I2206" s="126" t="s">
        <v>18</v>
      </c>
      <c r="J2206" s="37">
        <v>0</v>
      </c>
      <c r="K2206" s="159">
        <f>J2206*H2206</f>
        <v>0</v>
      </c>
      <c r="L2206" s="160"/>
    </row>
    <row r="2207" spans="1:12" s="35" customFormat="1" ht="31.5" x14ac:dyDescent="0.2">
      <c r="A2207" s="129">
        <f ca="1">IF(F2207&lt;&gt;"",1+MAX($A$1:A2206),"")</f>
        <v>78</v>
      </c>
      <c r="B2207" s="126" t="s">
        <v>807</v>
      </c>
      <c r="C2207" s="120"/>
      <c r="D2207" s="120"/>
      <c r="E2207" s="122" t="s">
        <v>832</v>
      </c>
      <c r="F2207" s="123">
        <f>321.82*1</f>
        <v>321.82</v>
      </c>
      <c r="G2207" s="124">
        <v>0.1</v>
      </c>
      <c r="H2207" s="125">
        <f>F2207*(1+G2207)</f>
        <v>354.00200000000001</v>
      </c>
      <c r="I2207" s="126" t="s">
        <v>18</v>
      </c>
      <c r="J2207" s="37">
        <v>0</v>
      </c>
      <c r="K2207" s="159">
        <f>J2207*H2207</f>
        <v>0</v>
      </c>
      <c r="L2207" s="160"/>
    </row>
    <row r="2208" spans="1:12" s="21" customFormat="1" x14ac:dyDescent="0.2">
      <c r="A2208" s="129" t="str">
        <f>IF(F2208&lt;&gt;"",1+MAX($A$1:A2207),"")</f>
        <v/>
      </c>
      <c r="B2208" s="126"/>
      <c r="C2208" s="120"/>
      <c r="D2208" s="189"/>
      <c r="E2208" s="296"/>
      <c r="F2208" s="125"/>
      <c r="G2208" s="184"/>
      <c r="H2208" s="125"/>
      <c r="I2208" s="126"/>
      <c r="J2208" s="127"/>
      <c r="K2208" s="159"/>
      <c r="L2208" s="212"/>
    </row>
    <row r="2209" spans="1:12" s="21" customFormat="1" x14ac:dyDescent="0.2">
      <c r="A2209" s="129" t="str">
        <f>IF(F2209&lt;&gt;"",1+MAX($A$1:A2208),"")</f>
        <v/>
      </c>
      <c r="B2209" s="120"/>
      <c r="C2209" s="120"/>
      <c r="D2209" s="189"/>
      <c r="E2209" s="190" t="s">
        <v>833</v>
      </c>
      <c r="F2209" s="123"/>
      <c r="G2209" s="184"/>
      <c r="H2209" s="125"/>
      <c r="I2209" s="126"/>
      <c r="J2209" s="127"/>
      <c r="K2209" s="105"/>
      <c r="L2209" s="11">
        <f>SUM(K2148:K2208)</f>
        <v>0</v>
      </c>
    </row>
    <row r="2210" spans="1:12" s="35" customFormat="1" x14ac:dyDescent="0.2">
      <c r="A2210" s="129" t="str">
        <f>IF(F2210&lt;&gt;"",1+MAX($A$1:A2209),"")</f>
        <v/>
      </c>
      <c r="B2210" s="126"/>
      <c r="C2210" s="120"/>
      <c r="D2210" s="120"/>
      <c r="E2210" s="122"/>
      <c r="F2210" s="123"/>
      <c r="G2210" s="184"/>
      <c r="H2210" s="125"/>
      <c r="I2210" s="126"/>
      <c r="J2210" s="37"/>
      <c r="K2210" s="159"/>
      <c r="L2210" s="160"/>
    </row>
    <row r="2211" spans="1:12" s="21" customFormat="1" x14ac:dyDescent="0.2">
      <c r="A2211" s="129" t="str">
        <f>IF(F2211&lt;&gt;"",1+MAX($A$1:A2210),"")</f>
        <v/>
      </c>
      <c r="B2211" s="126"/>
      <c r="C2211" s="120"/>
      <c r="D2211" s="299"/>
      <c r="E2211" s="172" t="s">
        <v>834</v>
      </c>
      <c r="F2211" s="123"/>
      <c r="G2211" s="184"/>
      <c r="H2211" s="125"/>
      <c r="I2211" s="126"/>
      <c r="J2211" s="23"/>
      <c r="K2211" s="207"/>
      <c r="L2211" s="160"/>
    </row>
    <row r="2212" spans="1:12" s="21" customFormat="1" x14ac:dyDescent="0.2">
      <c r="A2212" s="129">
        <f ca="1">IF(F2212&lt;&gt;"",1+MAX($A$1:A2211),"")</f>
        <v>79</v>
      </c>
      <c r="B2212" s="126" t="s">
        <v>835</v>
      </c>
      <c r="C2212" s="126" t="s">
        <v>835</v>
      </c>
      <c r="D2212" s="299"/>
      <c r="E2212" s="122" t="s">
        <v>836</v>
      </c>
      <c r="F2212" s="123">
        <v>7303</v>
      </c>
      <c r="G2212" s="124">
        <v>0.1</v>
      </c>
      <c r="H2212" s="125">
        <f t="shared" ref="H2212" si="398">F2212*(1+G2212)</f>
        <v>8033.3000000000011</v>
      </c>
      <c r="I2212" s="126" t="s">
        <v>18</v>
      </c>
      <c r="J2212" s="37">
        <v>0</v>
      </c>
      <c r="K2212" s="159">
        <f t="shared" ref="K2212" si="399">J2212*H2212</f>
        <v>0</v>
      </c>
      <c r="L2212" s="160"/>
    </row>
    <row r="2213" spans="1:12" s="21" customFormat="1" x14ac:dyDescent="0.2">
      <c r="A2213" s="129">
        <f ca="1">IF(F2213&lt;&gt;"",1+MAX($A$1:A2212),"")</f>
        <v>80</v>
      </c>
      <c r="B2213" s="126" t="s">
        <v>835</v>
      </c>
      <c r="C2213" s="126" t="s">
        <v>835</v>
      </c>
      <c r="D2213" s="120"/>
      <c r="E2213" s="122" t="s">
        <v>837</v>
      </c>
      <c r="F2213" s="123">
        <f>F2212*0.75/27</f>
        <v>202.86111111111111</v>
      </c>
      <c r="G2213" s="124">
        <v>0.1</v>
      </c>
      <c r="H2213" s="125">
        <f>F2213*(1+G2213)</f>
        <v>223.14722222222224</v>
      </c>
      <c r="I2213" s="126" t="s">
        <v>461</v>
      </c>
      <c r="J2213" s="37">
        <v>0</v>
      </c>
      <c r="K2213" s="159">
        <f>J2213*H2213</f>
        <v>0</v>
      </c>
      <c r="L2213" s="160"/>
    </row>
    <row r="2214" spans="1:12" s="21" customFormat="1" x14ac:dyDescent="0.2">
      <c r="A2214" s="129">
        <f ca="1">IF(F2214&lt;&gt;"",1+MAX($A$1:A2213),"")</f>
        <v>81</v>
      </c>
      <c r="B2214" s="126" t="s">
        <v>835</v>
      </c>
      <c r="C2214" s="126" t="s">
        <v>835</v>
      </c>
      <c r="D2214" s="120"/>
      <c r="E2214" s="122" t="s">
        <v>838</v>
      </c>
      <c r="F2214" s="123">
        <f>F2212</f>
        <v>7303</v>
      </c>
      <c r="G2214" s="124">
        <v>0.1</v>
      </c>
      <c r="H2214" s="125">
        <f>F2214*(1+G2214)</f>
        <v>8033.3000000000011</v>
      </c>
      <c r="I2214" s="126" t="s">
        <v>18</v>
      </c>
      <c r="J2214" s="37">
        <v>0</v>
      </c>
      <c r="K2214" s="159">
        <f>J2214*H2214</f>
        <v>0</v>
      </c>
      <c r="L2214" s="160"/>
    </row>
    <row r="2215" spans="1:12" s="21" customFormat="1" x14ac:dyDescent="0.2">
      <c r="A2215" s="129" t="str">
        <f>IF(F2215&lt;&gt;"",1+MAX($A$1:A2214),"")</f>
        <v/>
      </c>
      <c r="B2215" s="126"/>
      <c r="C2215" s="120"/>
      <c r="D2215" s="189"/>
      <c r="E2215" s="296"/>
      <c r="F2215" s="125"/>
      <c r="G2215" s="184"/>
      <c r="H2215" s="125"/>
      <c r="I2215" s="126"/>
      <c r="J2215" s="127"/>
      <c r="K2215" s="159"/>
      <c r="L2215" s="212"/>
    </row>
    <row r="2216" spans="1:12" s="21" customFormat="1" x14ac:dyDescent="0.2">
      <c r="A2216" s="129" t="str">
        <f>IF(F2216&lt;&gt;"",1+MAX($A$1:A2215),"")</f>
        <v/>
      </c>
      <c r="B2216" s="120"/>
      <c r="C2216" s="120"/>
      <c r="D2216" s="189"/>
      <c r="E2216" s="190" t="s">
        <v>839</v>
      </c>
      <c r="F2216" s="123"/>
      <c r="G2216" s="184"/>
      <c r="H2216" s="125"/>
      <c r="I2216" s="126"/>
      <c r="J2216" s="127"/>
      <c r="K2216" s="105"/>
      <c r="L2216" s="11">
        <f>SUM(K2211:K2215)</f>
        <v>0</v>
      </c>
    </row>
    <row r="2217" spans="1:12" s="35" customFormat="1" x14ac:dyDescent="0.2">
      <c r="A2217" s="129" t="str">
        <f>IF(F2217&lt;&gt;"",1+MAX($A$1:A2216),"")</f>
        <v/>
      </c>
      <c r="B2217" s="126"/>
      <c r="C2217" s="120"/>
      <c r="D2217" s="120"/>
      <c r="E2217" s="122"/>
      <c r="F2217" s="123"/>
      <c r="G2217" s="184"/>
      <c r="H2217" s="125"/>
      <c r="I2217" s="126"/>
      <c r="J2217" s="37"/>
      <c r="K2217" s="159"/>
      <c r="L2217" s="160"/>
    </row>
    <row r="2218" spans="1:12" s="21" customFormat="1" x14ac:dyDescent="0.2">
      <c r="A2218" s="129" t="str">
        <f>IF(F2218&lt;&gt;"",1+MAX($A$1:A2217),"")</f>
        <v/>
      </c>
      <c r="B2218" s="126"/>
      <c r="C2218" s="120"/>
      <c r="D2218" s="189"/>
      <c r="E2218" s="172" t="s">
        <v>840</v>
      </c>
      <c r="F2218" s="123"/>
      <c r="G2218" s="184"/>
      <c r="H2218" s="125"/>
      <c r="I2218" s="126"/>
      <c r="J2218" s="23"/>
      <c r="K2218" s="207"/>
      <c r="L2218" s="160"/>
    </row>
    <row r="2219" spans="1:12" s="21" customFormat="1" x14ac:dyDescent="0.2">
      <c r="A2219" s="129">
        <f ca="1">IF(F2219&lt;&gt;"",1+MAX($A$1:A2218),"")</f>
        <v>82</v>
      </c>
      <c r="B2219" s="126" t="s">
        <v>841</v>
      </c>
      <c r="C2219" s="287" t="s">
        <v>302</v>
      </c>
      <c r="D2219" s="186">
        <f>H2219*0.5/27</f>
        <v>5.5611111111111109</v>
      </c>
      <c r="E2219" s="122" t="s">
        <v>842</v>
      </c>
      <c r="F2219" s="123">
        <v>273</v>
      </c>
      <c r="G2219" s="124">
        <v>0.1</v>
      </c>
      <c r="H2219" s="125">
        <f t="shared" ref="H2219" si="400">F2219*(1+G2219)</f>
        <v>300.3</v>
      </c>
      <c r="I2219" s="126" t="s">
        <v>18</v>
      </c>
      <c r="J2219" s="37">
        <v>0</v>
      </c>
      <c r="K2219" s="159">
        <f t="shared" ref="K2219" si="401">J2219*H2219</f>
        <v>0</v>
      </c>
      <c r="L2219" s="160"/>
    </row>
    <row r="2220" spans="1:12" s="21" customFormat="1" x14ac:dyDescent="0.2">
      <c r="A2220" s="129">
        <f ca="1">IF(F2220&lt;&gt;"",1+MAX($A$1:A2219),"")</f>
        <v>83</v>
      </c>
      <c r="B2220" s="126" t="s">
        <v>841</v>
      </c>
      <c r="C2220" s="287" t="s">
        <v>302</v>
      </c>
      <c r="D2220" s="120"/>
      <c r="E2220" s="122" t="s">
        <v>594</v>
      </c>
      <c r="F2220" s="123">
        <f>F2219*0.334/27</f>
        <v>3.3771111111111112</v>
      </c>
      <c r="G2220" s="124">
        <v>0.1</v>
      </c>
      <c r="H2220" s="125">
        <f>F2220*(1+G2220)</f>
        <v>3.7148222222222227</v>
      </c>
      <c r="I2220" s="126" t="s">
        <v>461</v>
      </c>
      <c r="J2220" s="37">
        <f>J$124</f>
        <v>0</v>
      </c>
      <c r="K2220" s="159">
        <f>J2220*H2220</f>
        <v>0</v>
      </c>
      <c r="L2220" s="160"/>
    </row>
    <row r="2221" spans="1:12" s="21" customFormat="1" x14ac:dyDescent="0.2">
      <c r="A2221" s="129">
        <f ca="1">IF(F2221&lt;&gt;"",1+MAX($A$1:A2220),"")</f>
        <v>84</v>
      </c>
      <c r="B2221" s="126" t="s">
        <v>841</v>
      </c>
      <c r="C2221" s="287" t="s">
        <v>302</v>
      </c>
      <c r="D2221" s="120"/>
      <c r="E2221" s="122" t="s">
        <v>843</v>
      </c>
      <c r="F2221" s="123">
        <f>273*0.6016</f>
        <v>164.23680000000002</v>
      </c>
      <c r="G2221" s="124">
        <v>0.1</v>
      </c>
      <c r="H2221" s="125">
        <f>F2221*(1+G2221)</f>
        <v>180.66048000000004</v>
      </c>
      <c r="I2221" s="126" t="s">
        <v>292</v>
      </c>
      <c r="J2221" s="37">
        <v>0</v>
      </c>
      <c r="K2221" s="159">
        <f>J2221*H2221</f>
        <v>0</v>
      </c>
      <c r="L2221" s="160"/>
    </row>
    <row r="2222" spans="1:12" s="21" customFormat="1" x14ac:dyDescent="0.2">
      <c r="A2222" s="129">
        <f ca="1">IF(F2222&lt;&gt;"",1+MAX($A$1:A2221),"")</f>
        <v>85</v>
      </c>
      <c r="B2222" s="126" t="s">
        <v>841</v>
      </c>
      <c r="C2222" s="287" t="s">
        <v>302</v>
      </c>
      <c r="D2222" s="120"/>
      <c r="E2222" s="122" t="s">
        <v>844</v>
      </c>
      <c r="F2222" s="123">
        <f>F2219*0.14</f>
        <v>38.220000000000006</v>
      </c>
      <c r="G2222" s="124">
        <v>0.1</v>
      </c>
      <c r="H2222" s="125">
        <f>F2222*(1+G2222)</f>
        <v>42.042000000000009</v>
      </c>
      <c r="I2222" s="126" t="s">
        <v>15</v>
      </c>
      <c r="J2222" s="37">
        <v>0</v>
      </c>
      <c r="K2222" s="159">
        <f>J2222*H2222</f>
        <v>0</v>
      </c>
      <c r="L2222" s="160"/>
    </row>
    <row r="2223" spans="1:12" s="21" customFormat="1" x14ac:dyDescent="0.2">
      <c r="A2223" s="129">
        <f ca="1">IF(F2223&lt;&gt;"",1+MAX($A$1:A2222),"")</f>
        <v>86</v>
      </c>
      <c r="B2223" s="126" t="s">
        <v>841</v>
      </c>
      <c r="C2223" s="287" t="s">
        <v>302</v>
      </c>
      <c r="D2223" s="120"/>
      <c r="E2223" s="122" t="s">
        <v>592</v>
      </c>
      <c r="F2223" s="123">
        <f>F2219*0.08</f>
        <v>21.84</v>
      </c>
      <c r="G2223" s="124">
        <v>0.1</v>
      </c>
      <c r="H2223" s="125">
        <f t="shared" ref="H2223" si="402">F2223*(1+G2223)</f>
        <v>24.024000000000001</v>
      </c>
      <c r="I2223" s="126" t="s">
        <v>15</v>
      </c>
      <c r="J2223" s="37">
        <v>0</v>
      </c>
      <c r="K2223" s="159">
        <f t="shared" ref="K2223" si="403">J2223*H2223</f>
        <v>0</v>
      </c>
      <c r="L2223" s="160"/>
    </row>
    <row r="2224" spans="1:12" s="21" customFormat="1" x14ac:dyDescent="0.2">
      <c r="A2224" s="129">
        <f ca="1">IF(F2224&lt;&gt;"",1+MAX($A$1:A2223),"")</f>
        <v>87</v>
      </c>
      <c r="B2224" s="126" t="s">
        <v>841</v>
      </c>
      <c r="C2224" s="287" t="s">
        <v>302</v>
      </c>
      <c r="D2224" s="120"/>
      <c r="E2224" s="122" t="s">
        <v>845</v>
      </c>
      <c r="F2224" s="123">
        <v>95.2</v>
      </c>
      <c r="G2224" s="124">
        <v>0.1</v>
      </c>
      <c r="H2224" s="125">
        <f>F2224*(1+G2224)</f>
        <v>104.72000000000001</v>
      </c>
      <c r="I2224" s="126" t="s">
        <v>15</v>
      </c>
      <c r="J2224" s="37">
        <v>0</v>
      </c>
      <c r="K2224" s="159">
        <f>J2224*H2224</f>
        <v>0</v>
      </c>
      <c r="L2224" s="160"/>
    </row>
    <row r="2225" spans="1:12" s="35" customFormat="1" x14ac:dyDescent="0.2">
      <c r="A2225" s="129" t="str">
        <f>IF(F2225&lt;&gt;"",1+MAX($A$1:A2224),"")</f>
        <v/>
      </c>
      <c r="B2225" s="126"/>
      <c r="C2225" s="120"/>
      <c r="D2225" s="120"/>
      <c r="E2225" s="288" t="s">
        <v>846</v>
      </c>
      <c r="F2225" s="123"/>
      <c r="G2225" s="184"/>
      <c r="H2225" s="125"/>
      <c r="I2225" s="126"/>
      <c r="J2225" s="37"/>
      <c r="K2225" s="159"/>
      <c r="L2225" s="160"/>
    </row>
    <row r="2226" spans="1:12" s="21" customFormat="1" x14ac:dyDescent="0.2">
      <c r="A2226" s="129" t="str">
        <f>IF(F2226&lt;&gt;"",1+MAX($A$1:A2225),"")</f>
        <v/>
      </c>
      <c r="B2226" s="126"/>
      <c r="C2226" s="120"/>
      <c r="D2226" s="189"/>
      <c r="E2226" s="296"/>
      <c r="F2226" s="125"/>
      <c r="G2226" s="184"/>
      <c r="H2226" s="125"/>
      <c r="I2226" s="126"/>
      <c r="J2226" s="127"/>
      <c r="K2226" s="159"/>
      <c r="L2226" s="212"/>
    </row>
    <row r="2227" spans="1:12" s="21" customFormat="1" x14ac:dyDescent="0.2">
      <c r="A2227" s="129" t="str">
        <f>IF(F2227&lt;&gt;"",1+MAX($A$1:A2226),"")</f>
        <v/>
      </c>
      <c r="B2227" s="120"/>
      <c r="C2227" s="120"/>
      <c r="D2227" s="189"/>
      <c r="E2227" s="190" t="s">
        <v>847</v>
      </c>
      <c r="F2227" s="123"/>
      <c r="G2227" s="184"/>
      <c r="H2227" s="125"/>
      <c r="I2227" s="126"/>
      <c r="J2227" s="127"/>
      <c r="K2227" s="105"/>
      <c r="L2227" s="11">
        <f>SUM(K2218:K2226)</f>
        <v>0</v>
      </c>
    </row>
    <row r="2228" spans="1:12" s="35" customFormat="1" x14ac:dyDescent="0.2">
      <c r="A2228" s="129" t="str">
        <f>IF(F2228&lt;&gt;"",1+MAX($A$1:A2227),"")</f>
        <v/>
      </c>
      <c r="B2228" s="126"/>
      <c r="C2228" s="120"/>
      <c r="D2228" s="120"/>
      <c r="E2228" s="122"/>
      <c r="F2228" s="123"/>
      <c r="G2228" s="184"/>
      <c r="H2228" s="125"/>
      <c r="I2228" s="126"/>
      <c r="J2228" s="37"/>
      <c r="K2228" s="159"/>
      <c r="L2228" s="160"/>
    </row>
    <row r="2229" spans="1:12" s="21" customFormat="1" x14ac:dyDescent="0.2">
      <c r="A2229" s="129" t="str">
        <f>IF(F2229&lt;&gt;"",1+MAX($A$1:A2228),"")</f>
        <v/>
      </c>
      <c r="B2229" s="126"/>
      <c r="C2229" s="120"/>
      <c r="D2229" s="189"/>
      <c r="E2229" s="172" t="s">
        <v>848</v>
      </c>
      <c r="F2229" s="123"/>
      <c r="G2229" s="184"/>
      <c r="H2229" s="125"/>
      <c r="I2229" s="126"/>
      <c r="J2229" s="23"/>
      <c r="K2229" s="207"/>
      <c r="L2229" s="160"/>
    </row>
    <row r="2230" spans="1:12" s="21" customFormat="1" x14ac:dyDescent="0.2">
      <c r="A2230" s="129">
        <f ca="1">IF(F2230&lt;&gt;"",1+MAX($A$1:A2229),"")</f>
        <v>88</v>
      </c>
      <c r="B2230" s="126" t="s">
        <v>841</v>
      </c>
      <c r="C2230" s="126" t="s">
        <v>849</v>
      </c>
      <c r="D2230" s="186"/>
      <c r="E2230" s="122" t="s">
        <v>850</v>
      </c>
      <c r="F2230" s="123">
        <v>2635</v>
      </c>
      <c r="G2230" s="124">
        <v>0.1</v>
      </c>
      <c r="H2230" s="125">
        <f t="shared" ref="H2230:H2231" si="404">F2230*(1+G2230)</f>
        <v>2898.5000000000005</v>
      </c>
      <c r="I2230" s="126" t="s">
        <v>18</v>
      </c>
      <c r="J2230" s="37">
        <v>0</v>
      </c>
      <c r="K2230" s="159">
        <f t="shared" ref="K2230:K2231" si="405">J2230*H2230</f>
        <v>0</v>
      </c>
      <c r="L2230" s="160"/>
    </row>
    <row r="2231" spans="1:12" s="21" customFormat="1" x14ac:dyDescent="0.2">
      <c r="A2231" s="129">
        <f ca="1">IF(F2231&lt;&gt;"",1+MAX($A$1:A2230),"")</f>
        <v>89</v>
      </c>
      <c r="B2231" s="126" t="s">
        <v>841</v>
      </c>
      <c r="C2231" s="287" t="s">
        <v>302</v>
      </c>
      <c r="D2231" s="186">
        <f>H2231*0.334/27</f>
        <v>35.855518518518522</v>
      </c>
      <c r="E2231" s="122" t="s">
        <v>851</v>
      </c>
      <c r="F2231" s="123">
        <f>F2230</f>
        <v>2635</v>
      </c>
      <c r="G2231" s="124">
        <v>0.1</v>
      </c>
      <c r="H2231" s="125">
        <f t="shared" si="404"/>
        <v>2898.5000000000005</v>
      </c>
      <c r="I2231" s="126" t="s">
        <v>18</v>
      </c>
      <c r="J2231" s="37">
        <v>0</v>
      </c>
      <c r="K2231" s="159">
        <f t="shared" si="405"/>
        <v>0</v>
      </c>
      <c r="L2231" s="160"/>
    </row>
    <row r="2232" spans="1:12" s="21" customFormat="1" x14ac:dyDescent="0.2">
      <c r="A2232" s="129">
        <f ca="1">IF(F2232&lt;&gt;"",1+MAX($A$1:A2231),"")</f>
        <v>90</v>
      </c>
      <c r="B2232" s="126" t="s">
        <v>841</v>
      </c>
      <c r="C2232" s="287" t="s">
        <v>302</v>
      </c>
      <c r="D2232" s="120"/>
      <c r="E2232" s="122" t="s">
        <v>843</v>
      </c>
      <c r="F2232" s="123">
        <f>2635*0.6016</f>
        <v>1585.2160000000001</v>
      </c>
      <c r="G2232" s="124">
        <v>0.1</v>
      </c>
      <c r="H2232" s="125">
        <f>F2232*(1+G2232)</f>
        <v>1743.7376000000004</v>
      </c>
      <c r="I2232" s="126" t="s">
        <v>292</v>
      </c>
      <c r="J2232" s="37">
        <f>J$132</f>
        <v>0</v>
      </c>
      <c r="K2232" s="159">
        <f>J2232*H2232</f>
        <v>0</v>
      </c>
      <c r="L2232" s="160"/>
    </row>
    <row r="2233" spans="1:12" s="21" customFormat="1" x14ac:dyDescent="0.2">
      <c r="A2233" s="129">
        <f ca="1">IF(F2233&lt;&gt;"",1+MAX($A$1:A2232),"")</f>
        <v>91</v>
      </c>
      <c r="B2233" s="126" t="s">
        <v>841</v>
      </c>
      <c r="C2233" s="287" t="s">
        <v>302</v>
      </c>
      <c r="D2233" s="120"/>
      <c r="E2233" s="122" t="s">
        <v>844</v>
      </c>
      <c r="F2233" s="123">
        <f>F2231*0.14</f>
        <v>368.90000000000003</v>
      </c>
      <c r="G2233" s="124">
        <v>0.1</v>
      </c>
      <c r="H2233" s="125">
        <f>F2233*(1+G2233)</f>
        <v>405.79000000000008</v>
      </c>
      <c r="I2233" s="126" t="s">
        <v>15</v>
      </c>
      <c r="J2233" s="37">
        <f>J$133</f>
        <v>0</v>
      </c>
      <c r="K2233" s="159">
        <f>J2233*H2233</f>
        <v>0</v>
      </c>
      <c r="L2233" s="160"/>
    </row>
    <row r="2234" spans="1:12" s="21" customFormat="1" x14ac:dyDescent="0.2">
      <c r="A2234" s="129">
        <f ca="1">IF(F2234&lt;&gt;"",1+MAX($A$1:A2233),"")</f>
        <v>92</v>
      </c>
      <c r="B2234" s="126" t="s">
        <v>841</v>
      </c>
      <c r="C2234" s="287" t="s">
        <v>302</v>
      </c>
      <c r="D2234" s="120"/>
      <c r="E2234" s="122" t="s">
        <v>592</v>
      </c>
      <c r="F2234" s="123">
        <f>F2231*0.08</f>
        <v>210.8</v>
      </c>
      <c r="G2234" s="124">
        <v>0.1</v>
      </c>
      <c r="H2234" s="125">
        <f t="shared" ref="H2234" si="406">F2234*(1+G2234)</f>
        <v>231.88000000000002</v>
      </c>
      <c r="I2234" s="126" t="s">
        <v>15</v>
      </c>
      <c r="J2234" s="37">
        <f>J$134</f>
        <v>0</v>
      </c>
      <c r="K2234" s="159">
        <f t="shared" ref="K2234" si="407">J2234*H2234</f>
        <v>0</v>
      </c>
      <c r="L2234" s="160"/>
    </row>
    <row r="2235" spans="1:12" s="21" customFormat="1" x14ac:dyDescent="0.2">
      <c r="A2235" s="129">
        <f ca="1">IF(F2235&lt;&gt;"",1+MAX($A$1:A2234),"")</f>
        <v>93</v>
      </c>
      <c r="B2235" s="126" t="s">
        <v>841</v>
      </c>
      <c r="C2235" s="287" t="s">
        <v>302</v>
      </c>
      <c r="D2235" s="120"/>
      <c r="E2235" s="122" t="s">
        <v>590</v>
      </c>
      <c r="F2235" s="123">
        <v>1191.8900000000001</v>
      </c>
      <c r="G2235" s="124">
        <v>0.1</v>
      </c>
      <c r="H2235" s="125">
        <f>F2235*(1+G2235)</f>
        <v>1311.0790000000002</v>
      </c>
      <c r="I2235" s="126" t="s">
        <v>15</v>
      </c>
      <c r="J2235" s="37">
        <v>0</v>
      </c>
      <c r="K2235" s="159">
        <f>J2235*H2235</f>
        <v>0</v>
      </c>
      <c r="L2235" s="160"/>
    </row>
    <row r="2236" spans="1:12" s="35" customFormat="1" x14ac:dyDescent="0.2">
      <c r="A2236" s="129" t="str">
        <f>IF(F2236&lt;&gt;"",1+MAX($A$1:A2235),"")</f>
        <v/>
      </c>
      <c r="B2236" s="126"/>
      <c r="C2236" s="126"/>
      <c r="D2236" s="120"/>
      <c r="E2236" s="288" t="s">
        <v>852</v>
      </c>
      <c r="F2236" s="123"/>
      <c r="G2236" s="184"/>
      <c r="H2236" s="125"/>
      <c r="I2236" s="126"/>
      <c r="J2236" s="37"/>
      <c r="K2236" s="159"/>
      <c r="L2236" s="160"/>
    </row>
    <row r="2237" spans="1:12" s="21" customFormat="1" x14ac:dyDescent="0.2">
      <c r="A2237" s="129" t="str">
        <f>IF(F2237&lt;&gt;"",1+MAX($A$1:A2236),"")</f>
        <v/>
      </c>
      <c r="B2237" s="126"/>
      <c r="C2237" s="120"/>
      <c r="D2237" s="189"/>
      <c r="E2237" s="296"/>
      <c r="F2237" s="125"/>
      <c r="G2237" s="184"/>
      <c r="H2237" s="125"/>
      <c r="I2237" s="126"/>
      <c r="J2237" s="127"/>
      <c r="K2237" s="159"/>
      <c r="L2237" s="212"/>
    </row>
    <row r="2238" spans="1:12" s="21" customFormat="1" x14ac:dyDescent="0.2">
      <c r="A2238" s="129" t="str">
        <f>IF(F2238&lt;&gt;"",1+MAX($A$1:A2237),"")</f>
        <v/>
      </c>
      <c r="B2238" s="120"/>
      <c r="C2238" s="120"/>
      <c r="D2238" s="189"/>
      <c r="E2238" s="190" t="s">
        <v>853</v>
      </c>
      <c r="F2238" s="123"/>
      <c r="G2238" s="184"/>
      <c r="H2238" s="125"/>
      <c r="I2238" s="126"/>
      <c r="J2238" s="127"/>
      <c r="K2238" s="105"/>
      <c r="L2238" s="11">
        <f>SUM(K2229:K2237)</f>
        <v>0</v>
      </c>
    </row>
    <row r="2239" spans="1:12" s="35" customFormat="1" x14ac:dyDescent="0.2">
      <c r="A2239" s="129" t="str">
        <f>IF(F2239&lt;&gt;"",1+MAX($A$1:A2238),"")</f>
        <v/>
      </c>
      <c r="B2239" s="126"/>
      <c r="C2239" s="120"/>
      <c r="D2239" s="120"/>
      <c r="E2239" s="122"/>
      <c r="F2239" s="123"/>
      <c r="G2239" s="184"/>
      <c r="H2239" s="125"/>
      <c r="I2239" s="126"/>
      <c r="J2239" s="37"/>
      <c r="K2239" s="159"/>
      <c r="L2239" s="160"/>
    </row>
    <row r="2240" spans="1:12" s="21" customFormat="1" x14ac:dyDescent="0.2">
      <c r="A2240" s="129" t="str">
        <f>IF(F2240&lt;&gt;"",1+MAX($A$1:A2239),"")</f>
        <v/>
      </c>
      <c r="B2240" s="126"/>
      <c r="C2240" s="120"/>
      <c r="D2240" s="189"/>
      <c r="E2240" s="172" t="s">
        <v>854</v>
      </c>
      <c r="F2240" s="123"/>
      <c r="G2240" s="184"/>
      <c r="H2240" s="125"/>
      <c r="I2240" s="126"/>
      <c r="J2240" s="23"/>
      <c r="K2240" s="207"/>
      <c r="L2240" s="160"/>
    </row>
    <row r="2241" spans="1:12" s="21" customFormat="1" x14ac:dyDescent="0.2">
      <c r="A2241" s="129">
        <f ca="1">IF(F2241&lt;&gt;"",1+MAX($A$1:A2240),"")</f>
        <v>94</v>
      </c>
      <c r="B2241" s="126" t="s">
        <v>812</v>
      </c>
      <c r="C2241" s="126" t="s">
        <v>855</v>
      </c>
      <c r="D2241" s="186">
        <f>H2241*0.334/27</f>
        <v>18.016207407407407</v>
      </c>
      <c r="E2241" s="122" t="s">
        <v>856</v>
      </c>
      <c r="F2241" s="123">
        <v>1324</v>
      </c>
      <c r="G2241" s="124">
        <v>0.1</v>
      </c>
      <c r="H2241" s="125">
        <f t="shared" ref="H2241" si="408">F2241*(1+G2241)</f>
        <v>1456.4</v>
      </c>
      <c r="I2241" s="126" t="s">
        <v>18</v>
      </c>
      <c r="J2241" s="37">
        <v>0</v>
      </c>
      <c r="K2241" s="159">
        <f t="shared" ref="K2241" si="409">J2241*H2241</f>
        <v>0</v>
      </c>
      <c r="L2241" s="160"/>
    </row>
    <row r="2242" spans="1:12" s="21" customFormat="1" x14ac:dyDescent="0.2">
      <c r="A2242" s="129">
        <f ca="1">IF(F2242&lt;&gt;"",1+MAX($A$1:A2241),"")</f>
        <v>95</v>
      </c>
      <c r="B2242" s="126" t="s">
        <v>841</v>
      </c>
      <c r="C2242" s="126" t="s">
        <v>855</v>
      </c>
      <c r="D2242" s="120"/>
      <c r="E2242" s="122" t="s">
        <v>843</v>
      </c>
      <c r="F2242" s="123">
        <f>1324*0.6016</f>
        <v>796.51840000000004</v>
      </c>
      <c r="G2242" s="124">
        <v>0.1</v>
      </c>
      <c r="H2242" s="125">
        <f>F2242*(1+G2242)</f>
        <v>876.17024000000015</v>
      </c>
      <c r="I2242" s="126" t="s">
        <v>292</v>
      </c>
      <c r="J2242" s="37">
        <f>J$132</f>
        <v>0</v>
      </c>
      <c r="K2242" s="159">
        <f>J2242*H2242</f>
        <v>0</v>
      </c>
      <c r="L2242" s="160"/>
    </row>
    <row r="2243" spans="1:12" s="21" customFormat="1" x14ac:dyDescent="0.2">
      <c r="A2243" s="129">
        <f ca="1">IF(F2243&lt;&gt;"",1+MAX($A$1:A2242),"")</f>
        <v>96</v>
      </c>
      <c r="B2243" s="126" t="s">
        <v>812</v>
      </c>
      <c r="C2243" s="126" t="s">
        <v>855</v>
      </c>
      <c r="D2243" s="120"/>
      <c r="E2243" s="122" t="s">
        <v>844</v>
      </c>
      <c r="F2243" s="123">
        <f>F2241*0.14</f>
        <v>185.36</v>
      </c>
      <c r="G2243" s="124">
        <v>0.1</v>
      </c>
      <c r="H2243" s="125">
        <f>F2243*(1+G2243)</f>
        <v>203.89600000000004</v>
      </c>
      <c r="I2243" s="126" t="s">
        <v>15</v>
      </c>
      <c r="J2243" s="37">
        <f>J$133</f>
        <v>0</v>
      </c>
      <c r="K2243" s="159">
        <f>J2243*H2243</f>
        <v>0</v>
      </c>
      <c r="L2243" s="160"/>
    </row>
    <row r="2244" spans="1:12" s="21" customFormat="1" x14ac:dyDescent="0.2">
      <c r="A2244" s="129">
        <f ca="1">IF(F2244&lt;&gt;"",1+MAX($A$1:A2243),"")</f>
        <v>97</v>
      </c>
      <c r="B2244" s="126" t="s">
        <v>812</v>
      </c>
      <c r="C2244" s="126" t="s">
        <v>855</v>
      </c>
      <c r="D2244" s="120"/>
      <c r="E2244" s="122" t="s">
        <v>592</v>
      </c>
      <c r="F2244" s="123">
        <f>F2241*0.08</f>
        <v>105.92</v>
      </c>
      <c r="G2244" s="124">
        <v>0.1</v>
      </c>
      <c r="H2244" s="125">
        <f t="shared" ref="H2244" si="410">F2244*(1+G2244)</f>
        <v>116.51200000000001</v>
      </c>
      <c r="I2244" s="126" t="s">
        <v>15</v>
      </c>
      <c r="J2244" s="37">
        <f>J$134</f>
        <v>0</v>
      </c>
      <c r="K2244" s="159">
        <f t="shared" ref="K2244" si="411">J2244*H2244</f>
        <v>0</v>
      </c>
      <c r="L2244" s="160"/>
    </row>
    <row r="2245" spans="1:12" s="21" customFormat="1" x14ac:dyDescent="0.2">
      <c r="A2245" s="129">
        <f ca="1">IF(F2245&lt;&gt;"",1+MAX($A$1:A2244),"")</f>
        <v>98</v>
      </c>
      <c r="B2245" s="126" t="s">
        <v>812</v>
      </c>
      <c r="C2245" s="126" t="s">
        <v>855</v>
      </c>
      <c r="D2245" s="120"/>
      <c r="E2245" s="122" t="s">
        <v>590</v>
      </c>
      <c r="F2245" s="123">
        <v>545.28</v>
      </c>
      <c r="G2245" s="124">
        <v>0.1</v>
      </c>
      <c r="H2245" s="125">
        <f>F2245*(1+G2245)</f>
        <v>599.80799999999999</v>
      </c>
      <c r="I2245" s="126" t="s">
        <v>15</v>
      </c>
      <c r="J2245" s="37">
        <f>J$146</f>
        <v>0</v>
      </c>
      <c r="K2245" s="159">
        <f>J2245*H2245</f>
        <v>0</v>
      </c>
      <c r="L2245" s="160"/>
    </row>
    <row r="2246" spans="1:12" s="21" customFormat="1" x14ac:dyDescent="0.2">
      <c r="A2246" s="129" t="str">
        <f>IF(F2246&lt;&gt;"",1+MAX($A$1:A2245),"")</f>
        <v/>
      </c>
      <c r="B2246" s="126"/>
      <c r="C2246" s="120"/>
      <c r="D2246" s="189"/>
      <c r="E2246" s="296"/>
      <c r="F2246" s="125"/>
      <c r="G2246" s="184"/>
      <c r="H2246" s="125"/>
      <c r="I2246" s="126"/>
      <c r="J2246" s="127"/>
      <c r="K2246" s="159"/>
      <c r="L2246" s="212"/>
    </row>
    <row r="2247" spans="1:12" s="21" customFormat="1" x14ac:dyDescent="0.2">
      <c r="A2247" s="129" t="str">
        <f>IF(F2247&lt;&gt;"",1+MAX($A$1:A2246),"")</f>
        <v/>
      </c>
      <c r="B2247" s="120"/>
      <c r="C2247" s="120"/>
      <c r="D2247" s="189"/>
      <c r="E2247" s="190" t="s">
        <v>857</v>
      </c>
      <c r="F2247" s="123"/>
      <c r="G2247" s="184"/>
      <c r="H2247" s="125"/>
      <c r="I2247" s="126"/>
      <c r="J2247" s="127"/>
      <c r="K2247" s="105"/>
      <c r="L2247" s="11">
        <f>SUM(K2240:K2246)</f>
        <v>0</v>
      </c>
    </row>
    <row r="2248" spans="1:12" s="35" customFormat="1" x14ac:dyDescent="0.2">
      <c r="A2248" s="129" t="str">
        <f>IF(F2248&lt;&gt;"",1+MAX($A$1:A2247),"")</f>
        <v/>
      </c>
      <c r="B2248" s="126"/>
      <c r="C2248" s="120"/>
      <c r="D2248" s="120"/>
      <c r="E2248" s="122"/>
      <c r="F2248" s="123"/>
      <c r="G2248" s="184"/>
      <c r="H2248" s="125"/>
      <c r="I2248" s="126"/>
      <c r="J2248" s="37"/>
      <c r="K2248" s="159"/>
      <c r="L2248" s="160"/>
    </row>
    <row r="2249" spans="1:12" s="21" customFormat="1" x14ac:dyDescent="0.2">
      <c r="A2249" s="129" t="str">
        <f>IF(F2249&lt;&gt;"",1+MAX($A$1:A2248),"")</f>
        <v/>
      </c>
      <c r="B2249" s="126"/>
      <c r="C2249" s="120"/>
      <c r="D2249" s="189"/>
      <c r="E2249" s="172" t="s">
        <v>858</v>
      </c>
      <c r="F2249" s="123"/>
      <c r="G2249" s="184"/>
      <c r="H2249" s="125"/>
      <c r="I2249" s="126"/>
      <c r="J2249" s="23"/>
      <c r="K2249" s="207"/>
      <c r="L2249" s="160"/>
    </row>
    <row r="2250" spans="1:12" s="35" customFormat="1" ht="47.25" x14ac:dyDescent="0.2">
      <c r="A2250" s="129">
        <f ca="1">IF(F2250&lt;&gt;"",1+MAX($A$1:A2249),"")</f>
        <v>99</v>
      </c>
      <c r="B2250" s="126" t="s">
        <v>759</v>
      </c>
      <c r="C2250" s="120" t="s">
        <v>859</v>
      </c>
      <c r="D2250" s="186">
        <f>H2250*0.625/27</f>
        <v>3.4629629629629637</v>
      </c>
      <c r="E2250" s="122" t="s">
        <v>860</v>
      </c>
      <c r="F2250" s="123">
        <v>136</v>
      </c>
      <c r="G2250" s="124">
        <v>0.1</v>
      </c>
      <c r="H2250" s="125">
        <f t="shared" ref="H2250" si="412">F2250*(1+G2250)</f>
        <v>149.60000000000002</v>
      </c>
      <c r="I2250" s="126" t="s">
        <v>15</v>
      </c>
      <c r="J2250" s="37">
        <v>0</v>
      </c>
      <c r="K2250" s="159">
        <f>J2250*H2250</f>
        <v>0</v>
      </c>
      <c r="L2250" s="160"/>
    </row>
    <row r="2251" spans="1:12" s="35" customFormat="1" x14ac:dyDescent="0.2">
      <c r="A2251" s="129" t="str">
        <f>IF(F2251&lt;&gt;"",1+MAX($A$1:A2250),"")</f>
        <v/>
      </c>
      <c r="B2251" s="126"/>
      <c r="C2251" s="120"/>
      <c r="D2251" s="120"/>
      <c r="E2251" s="122"/>
      <c r="F2251" s="123"/>
      <c r="G2251" s="184"/>
      <c r="H2251" s="125"/>
      <c r="I2251" s="126"/>
      <c r="J2251" s="37"/>
      <c r="K2251" s="159"/>
      <c r="L2251" s="160"/>
    </row>
    <row r="2252" spans="1:12" s="35" customFormat="1" x14ac:dyDescent="0.2">
      <c r="A2252" s="129">
        <f ca="1">IF(F2252&lt;&gt;"",1+MAX($A$1:A2251),"")</f>
        <v>100</v>
      </c>
      <c r="B2252" s="126" t="s">
        <v>759</v>
      </c>
      <c r="C2252" s="120" t="s">
        <v>861</v>
      </c>
      <c r="D2252" s="186">
        <f>H2252*1.5/27</f>
        <v>2.1101666666666667</v>
      </c>
      <c r="E2252" s="122" t="s">
        <v>862</v>
      </c>
      <c r="F2252" s="123">
        <v>34.53</v>
      </c>
      <c r="G2252" s="124">
        <v>0.1</v>
      </c>
      <c r="H2252" s="125">
        <f t="shared" ref="H2252" si="413">F2252*(1+G2252)</f>
        <v>37.983000000000004</v>
      </c>
      <c r="I2252" s="126" t="s">
        <v>15</v>
      </c>
      <c r="J2252" s="37">
        <v>0</v>
      </c>
      <c r="K2252" s="159">
        <f>J2252*H2252</f>
        <v>0</v>
      </c>
      <c r="L2252" s="160"/>
    </row>
    <row r="2253" spans="1:12" s="35" customFormat="1" x14ac:dyDescent="0.2">
      <c r="A2253" s="129" t="str">
        <f>IF(F2253&lt;&gt;"",1+MAX($A$1:A2252),"")</f>
        <v/>
      </c>
      <c r="B2253" s="126"/>
      <c r="C2253" s="120"/>
      <c r="D2253" s="120"/>
      <c r="E2253" s="122"/>
      <c r="F2253" s="123"/>
      <c r="G2253" s="184"/>
      <c r="H2253" s="125"/>
      <c r="I2253" s="126"/>
      <c r="J2253" s="37"/>
      <c r="K2253" s="159"/>
      <c r="L2253" s="160"/>
    </row>
    <row r="2254" spans="1:12" s="35" customFormat="1" x14ac:dyDescent="0.2">
      <c r="A2254" s="129">
        <f ca="1">IF(F2254&lt;&gt;"",1+MAX($A$1:A2253),"")</f>
        <v>101</v>
      </c>
      <c r="B2254" s="126" t="s">
        <v>759</v>
      </c>
      <c r="C2254" s="120" t="s">
        <v>859</v>
      </c>
      <c r="D2254" s="186">
        <f>H2254*1.7/27</f>
        <v>21.816666666666666</v>
      </c>
      <c r="E2254" s="122" t="s">
        <v>863</v>
      </c>
      <c r="F2254" s="123">
        <v>315</v>
      </c>
      <c r="G2254" s="124">
        <v>0.1</v>
      </c>
      <c r="H2254" s="125">
        <f t="shared" ref="H2254" si="414">F2254*(1+G2254)</f>
        <v>346.5</v>
      </c>
      <c r="I2254" s="126" t="s">
        <v>15</v>
      </c>
      <c r="J2254" s="37">
        <v>0</v>
      </c>
      <c r="K2254" s="159">
        <f>J2254*H2254</f>
        <v>0</v>
      </c>
      <c r="L2254" s="160"/>
    </row>
    <row r="2255" spans="1:12" s="35" customFormat="1" x14ac:dyDescent="0.2">
      <c r="A2255" s="129" t="str">
        <f>IF(F2255&lt;&gt;"",1+MAX($A$1:A2254),"")</f>
        <v/>
      </c>
      <c r="B2255" s="126"/>
      <c r="C2255" s="120"/>
      <c r="D2255" s="120"/>
      <c r="E2255" s="122"/>
      <c r="F2255" s="123"/>
      <c r="G2255" s="184"/>
      <c r="H2255" s="125"/>
      <c r="I2255" s="126"/>
      <c r="J2255" s="37"/>
      <c r="K2255" s="159"/>
      <c r="L2255" s="160"/>
    </row>
    <row r="2256" spans="1:12" s="35" customFormat="1" x14ac:dyDescent="0.2">
      <c r="A2256" s="129">
        <f ca="1">IF(F2256&lt;&gt;"",1+MAX($A$1:A2255),"")</f>
        <v>102</v>
      </c>
      <c r="B2256" s="126" t="s">
        <v>823</v>
      </c>
      <c r="C2256" s="120" t="s">
        <v>864</v>
      </c>
      <c r="D2256" s="186">
        <f>H2256*2.25/27</f>
        <v>12.344749999999999</v>
      </c>
      <c r="E2256" s="122" t="s">
        <v>865</v>
      </c>
      <c r="F2256" s="123">
        <v>134.66999999999999</v>
      </c>
      <c r="G2256" s="124">
        <v>0.1</v>
      </c>
      <c r="H2256" s="125">
        <f t="shared" ref="H2256" si="415">F2256*(1+G2256)</f>
        <v>148.137</v>
      </c>
      <c r="I2256" s="126" t="s">
        <v>15</v>
      </c>
      <c r="J2256" s="37">
        <v>0</v>
      </c>
      <c r="K2256" s="159">
        <f>J2256*H2256</f>
        <v>0</v>
      </c>
      <c r="L2256" s="160"/>
    </row>
    <row r="2257" spans="1:12" s="21" customFormat="1" x14ac:dyDescent="0.2">
      <c r="A2257" s="129" t="str">
        <f>IF(F2257&lt;&gt;"",1+MAX($A$1:A2256),"")</f>
        <v/>
      </c>
      <c r="B2257" s="126"/>
      <c r="C2257" s="120"/>
      <c r="D2257" s="189"/>
      <c r="E2257" s="296"/>
      <c r="F2257" s="125"/>
      <c r="G2257" s="184"/>
      <c r="H2257" s="125"/>
      <c r="I2257" s="126"/>
      <c r="J2257" s="127"/>
      <c r="K2257" s="159"/>
      <c r="L2257" s="212"/>
    </row>
    <row r="2258" spans="1:12" s="21" customFormat="1" x14ac:dyDescent="0.2">
      <c r="A2258" s="129" t="str">
        <f>IF(F2258&lt;&gt;"",1+MAX($A$1:A2257),"")</f>
        <v/>
      </c>
      <c r="B2258" s="120"/>
      <c r="C2258" s="120"/>
      <c r="D2258" s="189"/>
      <c r="E2258" s="190" t="s">
        <v>866</v>
      </c>
      <c r="F2258" s="123"/>
      <c r="G2258" s="184"/>
      <c r="H2258" s="125"/>
      <c r="I2258" s="126"/>
      <c r="J2258" s="127"/>
      <c r="K2258" s="105"/>
      <c r="L2258" s="11">
        <f>SUM(K2249:K2257)</f>
        <v>0</v>
      </c>
    </row>
    <row r="2259" spans="1:12" s="35" customFormat="1" x14ac:dyDescent="0.2">
      <c r="A2259" s="129" t="str">
        <f>IF(F2259&lt;&gt;"",1+MAX($A$1:A2258),"")</f>
        <v/>
      </c>
      <c r="B2259" s="126"/>
      <c r="C2259" s="120"/>
      <c r="D2259" s="120"/>
      <c r="E2259" s="122"/>
      <c r="F2259" s="123"/>
      <c r="G2259" s="184"/>
      <c r="H2259" s="125"/>
      <c r="I2259" s="126"/>
      <c r="J2259" s="37"/>
      <c r="K2259" s="159"/>
      <c r="L2259" s="160"/>
    </row>
    <row r="2260" spans="1:12" s="21" customFormat="1" x14ac:dyDescent="0.2">
      <c r="A2260" s="129" t="str">
        <f>IF(F2260&lt;&gt;"",1+MAX($A$1:A2259),"")</f>
        <v/>
      </c>
      <c r="B2260" s="126"/>
      <c r="C2260" s="120"/>
      <c r="D2260" s="189"/>
      <c r="E2260" s="172" t="s">
        <v>867</v>
      </c>
      <c r="F2260" s="123"/>
      <c r="G2260" s="184"/>
      <c r="H2260" s="125"/>
      <c r="I2260" s="126"/>
      <c r="J2260" s="23"/>
      <c r="K2260" s="207"/>
      <c r="L2260" s="160"/>
    </row>
    <row r="2261" spans="1:12" s="35" customFormat="1" x14ac:dyDescent="0.2">
      <c r="A2261" s="129">
        <f ca="1">IF(F2261&lt;&gt;"",1+MAX($A$1:A2260),"")</f>
        <v>103</v>
      </c>
      <c r="B2261" s="126" t="s">
        <v>841</v>
      </c>
      <c r="C2261" s="208" t="s">
        <v>302</v>
      </c>
      <c r="D2261" s="186">
        <f>H2261*0.334/27</f>
        <v>1.0885925925925928</v>
      </c>
      <c r="E2261" s="122" t="s">
        <v>868</v>
      </c>
      <c r="F2261" s="123">
        <v>80</v>
      </c>
      <c r="G2261" s="124">
        <v>0.1</v>
      </c>
      <c r="H2261" s="125">
        <f t="shared" ref="H2261" si="416">F2261*(1+G2261)</f>
        <v>88</v>
      </c>
      <c r="I2261" s="126" t="s">
        <v>18</v>
      </c>
      <c r="J2261" s="37">
        <v>0</v>
      </c>
      <c r="K2261" s="159">
        <f>J2261*H2261</f>
        <v>0</v>
      </c>
      <c r="L2261" s="160"/>
    </row>
    <row r="2262" spans="1:12" s="21" customFormat="1" x14ac:dyDescent="0.2">
      <c r="A2262" s="129">
        <f ca="1">IF(F2262&lt;&gt;"",1+MAX($A$1:A2261),"")</f>
        <v>104</v>
      </c>
      <c r="B2262" s="126" t="s">
        <v>841</v>
      </c>
      <c r="C2262" s="208" t="s">
        <v>302</v>
      </c>
      <c r="D2262" s="120"/>
      <c r="E2262" s="122" t="s">
        <v>589</v>
      </c>
      <c r="F2262" s="123">
        <f>80*1.283</f>
        <v>102.63999999999999</v>
      </c>
      <c r="G2262" s="124">
        <v>0.1</v>
      </c>
      <c r="H2262" s="125">
        <f>F2262*(1+G2262)</f>
        <v>112.904</v>
      </c>
      <c r="I2262" s="126" t="s">
        <v>292</v>
      </c>
      <c r="J2262" s="37">
        <f>J$132</f>
        <v>0</v>
      </c>
      <c r="K2262" s="159">
        <f>J2262*H2262</f>
        <v>0</v>
      </c>
      <c r="L2262" s="160"/>
    </row>
    <row r="2263" spans="1:12" s="21" customFormat="1" x14ac:dyDescent="0.2">
      <c r="A2263" s="129">
        <f ca="1">IF(F2263&lt;&gt;"",1+MAX($A$1:A2262),"")</f>
        <v>105</v>
      </c>
      <c r="B2263" s="126" t="s">
        <v>841</v>
      </c>
      <c r="C2263" s="208" t="s">
        <v>302</v>
      </c>
      <c r="D2263" s="120"/>
      <c r="E2263" s="122" t="s">
        <v>844</v>
      </c>
      <c r="F2263" s="123">
        <f>F2261*0.14</f>
        <v>11.200000000000001</v>
      </c>
      <c r="G2263" s="124">
        <v>0.1</v>
      </c>
      <c r="H2263" s="125">
        <f>F2263*(1+G2263)</f>
        <v>12.320000000000002</v>
      </c>
      <c r="I2263" s="126" t="s">
        <v>15</v>
      </c>
      <c r="J2263" s="37">
        <f>J$133</f>
        <v>0</v>
      </c>
      <c r="K2263" s="159">
        <f>J2263*H2263</f>
        <v>0</v>
      </c>
      <c r="L2263" s="160"/>
    </row>
    <row r="2264" spans="1:12" s="21" customFormat="1" x14ac:dyDescent="0.2">
      <c r="A2264" s="129">
        <f ca="1">IF(F2264&lt;&gt;"",1+MAX($A$1:A2263),"")</f>
        <v>106</v>
      </c>
      <c r="B2264" s="126" t="s">
        <v>841</v>
      </c>
      <c r="C2264" s="208" t="s">
        <v>302</v>
      </c>
      <c r="D2264" s="120"/>
      <c r="E2264" s="122" t="s">
        <v>592</v>
      </c>
      <c r="F2264" s="123">
        <f>F2261*0.08</f>
        <v>6.4</v>
      </c>
      <c r="G2264" s="124">
        <v>0.1</v>
      </c>
      <c r="H2264" s="125">
        <f t="shared" ref="H2264" si="417">F2264*(1+G2264)</f>
        <v>7.0400000000000009</v>
      </c>
      <c r="I2264" s="126" t="s">
        <v>15</v>
      </c>
      <c r="J2264" s="37">
        <f>J$134</f>
        <v>0</v>
      </c>
      <c r="K2264" s="159">
        <f t="shared" ref="K2264" si="418">J2264*H2264</f>
        <v>0</v>
      </c>
      <c r="L2264" s="160"/>
    </row>
    <row r="2265" spans="1:12" s="21" customFormat="1" x14ac:dyDescent="0.2">
      <c r="A2265" s="129">
        <f ca="1">IF(F2265&lt;&gt;"",1+MAX($A$1:A2264),"")</f>
        <v>107</v>
      </c>
      <c r="B2265" s="126" t="s">
        <v>841</v>
      </c>
      <c r="C2265" s="208" t="s">
        <v>302</v>
      </c>
      <c r="D2265" s="120"/>
      <c r="E2265" s="122" t="s">
        <v>590</v>
      </c>
      <c r="F2265" s="123">
        <v>36</v>
      </c>
      <c r="G2265" s="124">
        <v>0.1</v>
      </c>
      <c r="H2265" s="125">
        <f>F2265*(1+G2265)</f>
        <v>39.6</v>
      </c>
      <c r="I2265" s="126" t="s">
        <v>15</v>
      </c>
      <c r="J2265" s="37">
        <f>J$146</f>
        <v>0</v>
      </c>
      <c r="K2265" s="159">
        <f>J2265*H2265</f>
        <v>0</v>
      </c>
      <c r="L2265" s="160"/>
    </row>
    <row r="2266" spans="1:12" s="35" customFormat="1" x14ac:dyDescent="0.2">
      <c r="A2266" s="129" t="str">
        <f>IF(F2266&lt;&gt;"",1+MAX($A$1:A2265),"")</f>
        <v/>
      </c>
      <c r="B2266" s="126"/>
      <c r="C2266" s="120"/>
      <c r="D2266" s="120"/>
      <c r="E2266" s="288" t="s">
        <v>869</v>
      </c>
      <c r="F2266" s="123"/>
      <c r="G2266" s="184"/>
      <c r="H2266" s="125"/>
      <c r="I2266" s="126"/>
      <c r="J2266" s="37"/>
      <c r="K2266" s="159"/>
      <c r="L2266" s="160"/>
    </row>
    <row r="2267" spans="1:12" s="21" customFormat="1" x14ac:dyDescent="0.2">
      <c r="A2267" s="129" t="str">
        <f>IF(F2267&lt;&gt;"",1+MAX($A$1:A2266),"")</f>
        <v/>
      </c>
      <c r="B2267" s="126"/>
      <c r="C2267" s="120"/>
      <c r="D2267" s="189"/>
      <c r="E2267" s="296"/>
      <c r="F2267" s="125"/>
      <c r="G2267" s="184"/>
      <c r="H2267" s="125"/>
      <c r="I2267" s="126"/>
      <c r="J2267" s="127"/>
      <c r="K2267" s="159"/>
      <c r="L2267" s="212"/>
    </row>
    <row r="2268" spans="1:12" s="21" customFormat="1" x14ac:dyDescent="0.2">
      <c r="A2268" s="129" t="str">
        <f>IF(F2268&lt;&gt;"",1+MAX($A$1:A2267),"")</f>
        <v/>
      </c>
      <c r="B2268" s="120"/>
      <c r="C2268" s="120"/>
      <c r="D2268" s="189"/>
      <c r="E2268" s="190" t="s">
        <v>870</v>
      </c>
      <c r="F2268" s="123"/>
      <c r="G2268" s="184"/>
      <c r="H2268" s="125"/>
      <c r="I2268" s="126"/>
      <c r="J2268" s="127"/>
      <c r="K2268" s="105"/>
      <c r="L2268" s="11">
        <f>SUM(K2259:K2267)</f>
        <v>0</v>
      </c>
    </row>
    <row r="2269" spans="1:12" s="35" customFormat="1" x14ac:dyDescent="0.2">
      <c r="A2269" s="129" t="str">
        <f>IF(F2269&lt;&gt;"",1+MAX($A$1:A2268),"")</f>
        <v/>
      </c>
      <c r="B2269" s="126"/>
      <c r="C2269" s="120"/>
      <c r="D2269" s="120"/>
      <c r="E2269" s="122"/>
      <c r="F2269" s="123"/>
      <c r="G2269" s="184"/>
      <c r="H2269" s="125"/>
      <c r="I2269" s="126"/>
      <c r="J2269" s="37"/>
      <c r="K2269" s="159"/>
      <c r="L2269" s="160"/>
    </row>
    <row r="2270" spans="1:12" s="21" customFormat="1" x14ac:dyDescent="0.2">
      <c r="A2270" s="129" t="str">
        <f>IF(F2270&lt;&gt;"",1+MAX($A$1:A2269),"")</f>
        <v/>
      </c>
      <c r="B2270" s="126"/>
      <c r="C2270" s="120"/>
      <c r="D2270" s="189"/>
      <c r="E2270" s="172" t="s">
        <v>871</v>
      </c>
      <c r="F2270" s="123"/>
      <c r="G2270" s="184"/>
      <c r="H2270" s="125"/>
      <c r="I2270" s="126"/>
      <c r="J2270" s="23"/>
      <c r="K2270" s="207"/>
      <c r="L2270" s="160"/>
    </row>
    <row r="2271" spans="1:12" s="35" customFormat="1" ht="31.5" x14ac:dyDescent="0.2">
      <c r="A2271" s="129">
        <f ca="1">IF(F2271&lt;&gt;"",1+MAX($A$1:A2270),"")</f>
        <v>108</v>
      </c>
      <c r="B2271" s="126" t="s">
        <v>872</v>
      </c>
      <c r="C2271" s="120" t="s">
        <v>873</v>
      </c>
      <c r="D2271" s="120"/>
      <c r="E2271" s="122" t="s">
        <v>874</v>
      </c>
      <c r="F2271" s="123">
        <v>4130</v>
      </c>
      <c r="G2271" s="124">
        <v>0.1</v>
      </c>
      <c r="H2271" s="125">
        <f t="shared" ref="H2271:H2278" si="419">F2271*(1+G2271)</f>
        <v>4543</v>
      </c>
      <c r="I2271" s="126" t="s">
        <v>18</v>
      </c>
      <c r="J2271" s="37">
        <f>J$141</f>
        <v>0</v>
      </c>
      <c r="K2271" s="159">
        <f t="shared" ref="K2271:K2278" si="420">J2271*H2271</f>
        <v>0</v>
      </c>
      <c r="L2271" s="160"/>
    </row>
    <row r="2272" spans="1:12" s="35" customFormat="1" ht="47.25" x14ac:dyDescent="0.2">
      <c r="A2272" s="129">
        <f ca="1">IF(F2272&lt;&gt;"",1+MAX($A$1:A2271),"")</f>
        <v>109</v>
      </c>
      <c r="B2272" s="126" t="s">
        <v>841</v>
      </c>
      <c r="C2272" s="120" t="s">
        <v>875</v>
      </c>
      <c r="D2272" s="120"/>
      <c r="E2272" s="122" t="s">
        <v>876</v>
      </c>
      <c r="F2272" s="123">
        <v>788</v>
      </c>
      <c r="G2272" s="124">
        <v>0.1</v>
      </c>
      <c r="H2272" s="125">
        <f t="shared" si="419"/>
        <v>866.80000000000007</v>
      </c>
      <c r="I2272" s="126" t="s">
        <v>18</v>
      </c>
      <c r="J2272" s="37">
        <v>0</v>
      </c>
      <c r="K2272" s="159">
        <f t="shared" si="420"/>
        <v>0</v>
      </c>
      <c r="L2272" s="160"/>
    </row>
    <row r="2273" spans="1:12" s="35" customFormat="1" x14ac:dyDescent="0.2">
      <c r="A2273" s="129">
        <f ca="1">IF(F2273&lt;&gt;"",1+MAX($A$1:A2272),"")</f>
        <v>110</v>
      </c>
      <c r="B2273" s="126" t="s">
        <v>841</v>
      </c>
      <c r="C2273" s="120" t="s">
        <v>875</v>
      </c>
      <c r="D2273" s="120"/>
      <c r="E2273" s="122" t="s">
        <v>877</v>
      </c>
      <c r="F2273" s="123">
        <f>F2272</f>
        <v>788</v>
      </c>
      <c r="G2273" s="124">
        <v>0.1</v>
      </c>
      <c r="H2273" s="125">
        <f t="shared" si="419"/>
        <v>866.80000000000007</v>
      </c>
      <c r="I2273" s="126" t="s">
        <v>18</v>
      </c>
      <c r="J2273" s="37">
        <v>0</v>
      </c>
      <c r="K2273" s="159">
        <f t="shared" si="420"/>
        <v>0</v>
      </c>
      <c r="L2273" s="160"/>
    </row>
    <row r="2274" spans="1:12" s="35" customFormat="1" ht="63" x14ac:dyDescent="0.2">
      <c r="A2274" s="129">
        <f ca="1">IF(F2274&lt;&gt;"",1+MAX($A$1:A2273),"")</f>
        <v>111</v>
      </c>
      <c r="B2274" s="126" t="s">
        <v>841</v>
      </c>
      <c r="C2274" s="120" t="s">
        <v>878</v>
      </c>
      <c r="D2274" s="120"/>
      <c r="E2274" s="122" t="s">
        <v>879</v>
      </c>
      <c r="F2274" s="123">
        <v>83</v>
      </c>
      <c r="G2274" s="124">
        <v>0.1</v>
      </c>
      <c r="H2274" s="125">
        <f t="shared" si="419"/>
        <v>91.300000000000011</v>
      </c>
      <c r="I2274" s="126" t="s">
        <v>18</v>
      </c>
      <c r="J2274" s="37">
        <v>0</v>
      </c>
      <c r="K2274" s="159">
        <f t="shared" si="420"/>
        <v>0</v>
      </c>
      <c r="L2274" s="160"/>
    </row>
    <row r="2275" spans="1:12" s="35" customFormat="1" ht="63" x14ac:dyDescent="0.2">
      <c r="A2275" s="129">
        <f ca="1">IF(F2275&lt;&gt;"",1+MAX($A$1:A2274),"")</f>
        <v>112</v>
      </c>
      <c r="B2275" s="126" t="s">
        <v>841</v>
      </c>
      <c r="C2275" s="120" t="s">
        <v>878</v>
      </c>
      <c r="D2275" s="120"/>
      <c r="E2275" s="122" t="s">
        <v>880</v>
      </c>
      <c r="F2275" s="123">
        <v>118</v>
      </c>
      <c r="G2275" s="124">
        <v>0.1</v>
      </c>
      <c r="H2275" s="125">
        <f t="shared" si="419"/>
        <v>129.80000000000001</v>
      </c>
      <c r="I2275" s="126" t="s">
        <v>18</v>
      </c>
      <c r="J2275" s="37">
        <f t="shared" ref="J2275:J2277" si="421">J$185</f>
        <v>0</v>
      </c>
      <c r="K2275" s="159">
        <f t="shared" si="420"/>
        <v>0</v>
      </c>
      <c r="L2275" s="160"/>
    </row>
    <row r="2276" spans="1:12" s="35" customFormat="1" ht="63" x14ac:dyDescent="0.2">
      <c r="A2276" s="129">
        <f ca="1">IF(F2276&lt;&gt;"",1+MAX($A$1:A2275),"")</f>
        <v>113</v>
      </c>
      <c r="B2276" s="126" t="s">
        <v>841</v>
      </c>
      <c r="C2276" s="120" t="s">
        <v>878</v>
      </c>
      <c r="D2276" s="120"/>
      <c r="E2276" s="122" t="s">
        <v>881</v>
      </c>
      <c r="F2276" s="123">
        <v>145</v>
      </c>
      <c r="G2276" s="124">
        <v>0.1</v>
      </c>
      <c r="H2276" s="125">
        <f t="shared" si="419"/>
        <v>159.5</v>
      </c>
      <c r="I2276" s="126" t="s">
        <v>18</v>
      </c>
      <c r="J2276" s="37">
        <f t="shared" si="421"/>
        <v>0</v>
      </c>
      <c r="K2276" s="159">
        <f t="shared" si="420"/>
        <v>0</v>
      </c>
      <c r="L2276" s="160"/>
    </row>
    <row r="2277" spans="1:12" s="35" customFormat="1" ht="63" x14ac:dyDescent="0.2">
      <c r="A2277" s="129">
        <f ca="1">IF(F2277&lt;&gt;"",1+MAX($A$1:A2276),"")</f>
        <v>114</v>
      </c>
      <c r="B2277" s="126" t="s">
        <v>841</v>
      </c>
      <c r="C2277" s="120" t="s">
        <v>878</v>
      </c>
      <c r="D2277" s="120"/>
      <c r="E2277" s="122" t="s">
        <v>882</v>
      </c>
      <c r="F2277" s="123">
        <v>108</v>
      </c>
      <c r="G2277" s="124">
        <v>0.1</v>
      </c>
      <c r="H2277" s="125">
        <f t="shared" si="419"/>
        <v>118.80000000000001</v>
      </c>
      <c r="I2277" s="126" t="s">
        <v>18</v>
      </c>
      <c r="J2277" s="37">
        <f t="shared" si="421"/>
        <v>0</v>
      </c>
      <c r="K2277" s="159">
        <f t="shared" si="420"/>
        <v>0</v>
      </c>
      <c r="L2277" s="160"/>
    </row>
    <row r="2278" spans="1:12" s="35" customFormat="1" ht="63" x14ac:dyDescent="0.2">
      <c r="A2278" s="129">
        <f ca="1">IF(F2278&lt;&gt;"",1+MAX($A$1:A2277),"")</f>
        <v>115</v>
      </c>
      <c r="B2278" s="126" t="s">
        <v>883</v>
      </c>
      <c r="C2278" s="120" t="s">
        <v>884</v>
      </c>
      <c r="D2278" s="120"/>
      <c r="E2278" s="122" t="s">
        <v>1198</v>
      </c>
      <c r="F2278" s="123">
        <v>2797</v>
      </c>
      <c r="G2278" s="124">
        <v>0.1</v>
      </c>
      <c r="H2278" s="125">
        <f t="shared" si="419"/>
        <v>3076.7000000000003</v>
      </c>
      <c r="I2278" s="126" t="s">
        <v>18</v>
      </c>
      <c r="J2278" s="37">
        <v>0</v>
      </c>
      <c r="K2278" s="159">
        <f t="shared" si="420"/>
        <v>0</v>
      </c>
      <c r="L2278" s="160"/>
    </row>
    <row r="2279" spans="1:12" s="35" customFormat="1" x14ac:dyDescent="0.2">
      <c r="A2279" s="129" t="str">
        <f>IF(F2279&lt;&gt;"",1+MAX($A$1:A2278),"")</f>
        <v/>
      </c>
      <c r="B2279" s="126"/>
      <c r="C2279" s="120"/>
      <c r="D2279" s="120"/>
      <c r="E2279" s="288" t="s">
        <v>885</v>
      </c>
      <c r="F2279" s="123"/>
      <c r="G2279" s="184"/>
      <c r="H2279" s="125"/>
      <c r="I2279" s="126"/>
      <c r="J2279" s="37"/>
      <c r="K2279" s="159"/>
      <c r="L2279" s="160"/>
    </row>
    <row r="2280" spans="1:12" s="21" customFormat="1" x14ac:dyDescent="0.2">
      <c r="A2280" s="129" t="str">
        <f>IF(F2280&lt;&gt;"",1+MAX($A$1:A2279),"")</f>
        <v/>
      </c>
      <c r="B2280" s="126"/>
      <c r="C2280" s="120"/>
      <c r="D2280" s="189"/>
      <c r="E2280" s="296"/>
      <c r="F2280" s="125"/>
      <c r="G2280" s="184"/>
      <c r="H2280" s="125"/>
      <c r="I2280" s="126"/>
      <c r="J2280" s="127"/>
      <c r="K2280" s="159"/>
      <c r="L2280" s="212"/>
    </row>
    <row r="2281" spans="1:12" s="21" customFormat="1" x14ac:dyDescent="0.2">
      <c r="A2281" s="129" t="str">
        <f>IF(F2281&lt;&gt;"",1+MAX($A$1:A2280),"")</f>
        <v/>
      </c>
      <c r="B2281" s="120"/>
      <c r="C2281" s="120"/>
      <c r="D2281" s="189"/>
      <c r="E2281" s="190" t="s">
        <v>886</v>
      </c>
      <c r="F2281" s="123"/>
      <c r="G2281" s="184"/>
      <c r="H2281" s="125"/>
      <c r="I2281" s="126"/>
      <c r="J2281" s="127"/>
      <c r="K2281" s="105"/>
      <c r="L2281" s="11">
        <f>SUM(K2270:K2280)</f>
        <v>0</v>
      </c>
    </row>
    <row r="2282" spans="1:12" s="35" customFormat="1" x14ac:dyDescent="0.2">
      <c r="A2282" s="129" t="str">
        <f>IF(F2282&lt;&gt;"",1+MAX($A$1:A2281),"")</f>
        <v/>
      </c>
      <c r="B2282" s="126"/>
      <c r="C2282" s="120"/>
      <c r="D2282" s="120"/>
      <c r="E2282" s="292"/>
      <c r="F2282" s="123"/>
      <c r="G2282" s="184"/>
      <c r="H2282" s="125"/>
      <c r="I2282" s="126"/>
      <c r="J2282" s="37"/>
      <c r="K2282" s="159"/>
      <c r="L2282" s="160"/>
    </row>
    <row r="2283" spans="1:12" s="21" customFormat="1" x14ac:dyDescent="0.2">
      <c r="A2283" s="129" t="str">
        <f>IF(F2283&lt;&gt;"",1+MAX($A$1:A2282),"")</f>
        <v/>
      </c>
      <c r="B2283" s="126"/>
      <c r="C2283" s="120"/>
      <c r="D2283" s="189"/>
      <c r="E2283" s="172" t="s">
        <v>887</v>
      </c>
      <c r="F2283" s="123"/>
      <c r="G2283" s="184"/>
      <c r="H2283" s="125"/>
      <c r="I2283" s="126"/>
      <c r="J2283" s="23"/>
      <c r="K2283" s="207"/>
      <c r="L2283" s="160"/>
    </row>
    <row r="2284" spans="1:12" s="35" customFormat="1" ht="47.25" x14ac:dyDescent="0.2">
      <c r="A2284" s="129" t="str">
        <f>IF(F2284&lt;&gt;"",1+MAX($A$1:A2283),"")</f>
        <v/>
      </c>
      <c r="B2284" s="126"/>
      <c r="C2284" s="120"/>
      <c r="D2284" s="120"/>
      <c r="E2284" s="172" t="s">
        <v>888</v>
      </c>
      <c r="F2284" s="123"/>
      <c r="G2284" s="124"/>
      <c r="H2284" s="125"/>
      <c r="I2284" s="126"/>
      <c r="J2284" s="37"/>
      <c r="K2284" s="159"/>
      <c r="L2284" s="160"/>
    </row>
    <row r="2285" spans="1:12" s="35" customFormat="1" x14ac:dyDescent="0.2">
      <c r="A2285" s="129">
        <f ca="1">IF(F2285&lt;&gt;"",1+MAX($A$1:A2284),"")</f>
        <v>116</v>
      </c>
      <c r="B2285" s="126" t="s">
        <v>889</v>
      </c>
      <c r="C2285" s="120" t="s">
        <v>890</v>
      </c>
      <c r="D2285" s="120"/>
      <c r="E2285" s="122" t="s">
        <v>891</v>
      </c>
      <c r="F2285" s="123">
        <f>345*3.5</f>
        <v>1207.5</v>
      </c>
      <c r="G2285" s="124">
        <v>0.1</v>
      </c>
      <c r="H2285" s="125">
        <f t="shared" ref="H2285:H2289" si="422">F2285*(1+G2285)</f>
        <v>1328.25</v>
      </c>
      <c r="I2285" s="126" t="s">
        <v>18</v>
      </c>
      <c r="J2285" s="37">
        <v>0</v>
      </c>
      <c r="K2285" s="159">
        <f>J2285*H2285</f>
        <v>0</v>
      </c>
      <c r="L2285" s="160"/>
    </row>
    <row r="2286" spans="1:12" s="35" customFormat="1" x14ac:dyDescent="0.2">
      <c r="A2286" s="129">
        <f ca="1">IF(F2286&lt;&gt;"",1+MAX($A$1:A2285),"")</f>
        <v>117</v>
      </c>
      <c r="B2286" s="126" t="s">
        <v>889</v>
      </c>
      <c r="C2286" s="120" t="s">
        <v>890</v>
      </c>
      <c r="D2286" s="120"/>
      <c r="E2286" s="122" t="s">
        <v>892</v>
      </c>
      <c r="F2286" s="123">
        <f>345</f>
        <v>345</v>
      </c>
      <c r="G2286" s="124">
        <v>0.1</v>
      </c>
      <c r="H2286" s="125">
        <f t="shared" si="422"/>
        <v>379.50000000000006</v>
      </c>
      <c r="I2286" s="126" t="s">
        <v>15</v>
      </c>
      <c r="J2286" s="37">
        <v>0</v>
      </c>
      <c r="K2286" s="159">
        <f>J2286*H2286</f>
        <v>0</v>
      </c>
      <c r="L2286" s="160"/>
    </row>
    <row r="2287" spans="1:12" s="35" customFormat="1" x14ac:dyDescent="0.2">
      <c r="A2287" s="129">
        <f ca="1">IF(F2287&lt;&gt;"",1+MAX($A$1:A2286),"")</f>
        <v>118</v>
      </c>
      <c r="B2287" s="126" t="s">
        <v>889</v>
      </c>
      <c r="C2287" s="126" t="s">
        <v>893</v>
      </c>
      <c r="D2287" s="120"/>
      <c r="E2287" s="122" t="s">
        <v>894</v>
      </c>
      <c r="F2287" s="123">
        <f>1*345*0.668*1.2</f>
        <v>276.55200000000002</v>
      </c>
      <c r="G2287" s="124">
        <v>0.1</v>
      </c>
      <c r="H2287" s="125">
        <f t="shared" si="422"/>
        <v>304.20720000000006</v>
      </c>
      <c r="I2287" s="126" t="s">
        <v>292</v>
      </c>
      <c r="J2287" s="37">
        <f t="shared" ref="J2287:J2289" si="423">J$132</f>
        <v>0</v>
      </c>
      <c r="K2287" s="159">
        <f>J2287*H2287</f>
        <v>0</v>
      </c>
      <c r="L2287" s="160"/>
    </row>
    <row r="2288" spans="1:12" s="35" customFormat="1" x14ac:dyDescent="0.2">
      <c r="A2288" s="129">
        <f ca="1">IF(F2288&lt;&gt;"",1+MAX($A$1:A2287),"")</f>
        <v>119</v>
      </c>
      <c r="B2288" s="126" t="s">
        <v>889</v>
      </c>
      <c r="C2288" s="126" t="s">
        <v>893</v>
      </c>
      <c r="D2288" s="120"/>
      <c r="E2288" s="122" t="s">
        <v>895</v>
      </c>
      <c r="F2288" s="123">
        <f>(3.5/2+1)*345*0.668*1.2</f>
        <v>760.51799999999992</v>
      </c>
      <c r="G2288" s="124">
        <v>0.1</v>
      </c>
      <c r="H2288" s="125">
        <f t="shared" si="422"/>
        <v>836.56979999999999</v>
      </c>
      <c r="I2288" s="126" t="s">
        <v>292</v>
      </c>
      <c r="J2288" s="37">
        <f t="shared" si="423"/>
        <v>0</v>
      </c>
      <c r="K2288" s="159">
        <f>J2288*H2288</f>
        <v>0</v>
      </c>
      <c r="L2288" s="160"/>
    </row>
    <row r="2289" spans="1:12" s="35" customFormat="1" x14ac:dyDescent="0.2">
      <c r="A2289" s="129">
        <f ca="1">IF(F2289&lt;&gt;"",1+MAX($A$1:A2288),"")</f>
        <v>120</v>
      </c>
      <c r="B2289" s="126" t="s">
        <v>889</v>
      </c>
      <c r="C2289" s="126" t="s">
        <v>893</v>
      </c>
      <c r="D2289" s="120"/>
      <c r="E2289" s="122" t="s">
        <v>896</v>
      </c>
      <c r="F2289" s="123">
        <f>(345/1.34+1)*5.5*0.668*1.2</f>
        <v>1139.5102925373133</v>
      </c>
      <c r="G2289" s="124">
        <v>0.1</v>
      </c>
      <c r="H2289" s="125">
        <f t="shared" si="422"/>
        <v>1253.4613217910446</v>
      </c>
      <c r="I2289" s="126" t="s">
        <v>292</v>
      </c>
      <c r="J2289" s="37">
        <f t="shared" si="423"/>
        <v>0</v>
      </c>
      <c r="K2289" s="159">
        <f>J2289*H2289</f>
        <v>0</v>
      </c>
      <c r="L2289" s="160"/>
    </row>
    <row r="2290" spans="1:12" s="35" customFormat="1" x14ac:dyDescent="0.2">
      <c r="A2290" s="129" t="str">
        <f>IF(F2290&lt;&gt;"",1+MAX($A$1:A2289),"")</f>
        <v/>
      </c>
      <c r="B2290" s="126"/>
      <c r="C2290" s="300"/>
      <c r="D2290" s="120"/>
      <c r="E2290" s="122"/>
      <c r="F2290" s="123"/>
      <c r="G2290" s="124"/>
      <c r="H2290" s="125"/>
      <c r="I2290" s="126"/>
      <c r="J2290" s="126"/>
      <c r="K2290" s="159"/>
      <c r="L2290" s="160"/>
    </row>
    <row r="2291" spans="1:12" s="35" customFormat="1" ht="47.25" x14ac:dyDescent="0.2">
      <c r="A2291" s="129" t="str">
        <f>IF(F2291&lt;&gt;"",1+MAX($A$1:A2290),"")</f>
        <v/>
      </c>
      <c r="B2291" s="126"/>
      <c r="C2291" s="120"/>
      <c r="D2291" s="120"/>
      <c r="E2291" s="172" t="s">
        <v>897</v>
      </c>
      <c r="F2291" s="123"/>
      <c r="G2291" s="124"/>
      <c r="H2291" s="125"/>
      <c r="I2291" s="126"/>
      <c r="J2291" s="126"/>
      <c r="K2291" s="159"/>
      <c r="L2291" s="160"/>
    </row>
    <row r="2292" spans="1:12" s="35" customFormat="1" x14ac:dyDescent="0.2">
      <c r="A2292" s="129">
        <f ca="1">IF(F2292&lt;&gt;"",1+MAX($A$1:A2291),"")</f>
        <v>121</v>
      </c>
      <c r="B2292" s="126" t="s">
        <v>889</v>
      </c>
      <c r="C2292" s="120" t="s">
        <v>890</v>
      </c>
      <c r="D2292" s="120"/>
      <c r="E2292" s="122" t="s">
        <v>891</v>
      </c>
      <c r="F2292" s="123">
        <f>547*2.17</f>
        <v>1186.99</v>
      </c>
      <c r="G2292" s="124">
        <v>0.1</v>
      </c>
      <c r="H2292" s="125">
        <f t="shared" ref="H2292:H2296" si="424">F2292*(1+G2292)</f>
        <v>1305.6890000000001</v>
      </c>
      <c r="I2292" s="126" t="s">
        <v>18</v>
      </c>
      <c r="J2292" s="37">
        <f>J$196</f>
        <v>0</v>
      </c>
      <c r="K2292" s="159">
        <f t="shared" ref="K2292:K2296" si="425">J2292*H2292</f>
        <v>0</v>
      </c>
      <c r="L2292" s="160"/>
    </row>
    <row r="2293" spans="1:12" s="35" customFormat="1" x14ac:dyDescent="0.2">
      <c r="A2293" s="129">
        <f ca="1">IF(F2293&lt;&gt;"",1+MAX($A$1:A2292),"")</f>
        <v>122</v>
      </c>
      <c r="B2293" s="126" t="s">
        <v>889</v>
      </c>
      <c r="C2293" s="120" t="s">
        <v>890</v>
      </c>
      <c r="D2293" s="120"/>
      <c r="E2293" s="122" t="s">
        <v>892</v>
      </c>
      <c r="F2293" s="123">
        <v>547</v>
      </c>
      <c r="G2293" s="124">
        <v>0.1</v>
      </c>
      <c r="H2293" s="125">
        <f t="shared" si="424"/>
        <v>601.70000000000005</v>
      </c>
      <c r="I2293" s="126" t="s">
        <v>15</v>
      </c>
      <c r="J2293" s="37">
        <f>J$197</f>
        <v>0</v>
      </c>
      <c r="K2293" s="159">
        <f t="shared" si="425"/>
        <v>0</v>
      </c>
      <c r="L2293" s="160"/>
    </row>
    <row r="2294" spans="1:12" s="35" customFormat="1" x14ac:dyDescent="0.2">
      <c r="A2294" s="129">
        <f ca="1">IF(F2294&lt;&gt;"",1+MAX($A$1:A2293),"")</f>
        <v>123</v>
      </c>
      <c r="B2294" s="126" t="s">
        <v>889</v>
      </c>
      <c r="C2294" s="126" t="s">
        <v>893</v>
      </c>
      <c r="D2294" s="120"/>
      <c r="E2294" s="122" t="s">
        <v>894</v>
      </c>
      <c r="F2294" s="123">
        <f>1*547*0.668*1.2</f>
        <v>438.47520000000003</v>
      </c>
      <c r="G2294" s="124">
        <v>0.1</v>
      </c>
      <c r="H2294" s="125">
        <f t="shared" si="424"/>
        <v>482.32272000000006</v>
      </c>
      <c r="I2294" s="126" t="s">
        <v>292</v>
      </c>
      <c r="J2294" s="37">
        <f t="shared" ref="J2294:J2296" si="426">J$132</f>
        <v>0</v>
      </c>
      <c r="K2294" s="159">
        <f t="shared" si="425"/>
        <v>0</v>
      </c>
      <c r="L2294" s="160"/>
    </row>
    <row r="2295" spans="1:12" s="35" customFormat="1" x14ac:dyDescent="0.2">
      <c r="A2295" s="129">
        <f ca="1">IF(F2295&lt;&gt;"",1+MAX($A$1:A2294),"")</f>
        <v>124</v>
      </c>
      <c r="B2295" s="126" t="s">
        <v>889</v>
      </c>
      <c r="C2295" s="126" t="s">
        <v>893</v>
      </c>
      <c r="D2295" s="120"/>
      <c r="E2295" s="122" t="s">
        <v>895</v>
      </c>
      <c r="F2295" s="123">
        <f>(2.17/2+1)*547*0.668*1.2</f>
        <v>914.22079199999996</v>
      </c>
      <c r="G2295" s="124">
        <v>0.1</v>
      </c>
      <c r="H2295" s="125">
        <f t="shared" si="424"/>
        <v>1005.6428712000001</v>
      </c>
      <c r="I2295" s="126" t="s">
        <v>292</v>
      </c>
      <c r="J2295" s="37">
        <f t="shared" si="426"/>
        <v>0</v>
      </c>
      <c r="K2295" s="159">
        <f t="shared" si="425"/>
        <v>0</v>
      </c>
      <c r="L2295" s="160"/>
    </row>
    <row r="2296" spans="1:12" s="35" customFormat="1" x14ac:dyDescent="0.2">
      <c r="A2296" s="129">
        <f ca="1">IF(F2296&lt;&gt;"",1+MAX($A$1:A2295),"")</f>
        <v>125</v>
      </c>
      <c r="B2296" s="126" t="s">
        <v>889</v>
      </c>
      <c r="C2296" s="126" t="s">
        <v>893</v>
      </c>
      <c r="D2296" s="120"/>
      <c r="E2296" s="122" t="s">
        <v>896</v>
      </c>
      <c r="F2296" s="123">
        <f>(547/1.34+1)*4*0.668*1.2</f>
        <v>1312.0875940298508</v>
      </c>
      <c r="G2296" s="124">
        <v>0.1</v>
      </c>
      <c r="H2296" s="125">
        <f t="shared" si="424"/>
        <v>1443.296353432836</v>
      </c>
      <c r="I2296" s="126" t="s">
        <v>292</v>
      </c>
      <c r="J2296" s="37">
        <f t="shared" si="426"/>
        <v>0</v>
      </c>
      <c r="K2296" s="159">
        <f t="shared" si="425"/>
        <v>0</v>
      </c>
      <c r="L2296" s="160"/>
    </row>
    <row r="2297" spans="1:12" s="35" customFormat="1" x14ac:dyDescent="0.2">
      <c r="A2297" s="129" t="str">
        <f>IF(F2297&lt;&gt;"",1+MAX($A$1:A2296),"")</f>
        <v/>
      </c>
      <c r="B2297" s="126"/>
      <c r="C2297" s="300"/>
      <c r="D2297" s="120"/>
      <c r="E2297" s="122"/>
      <c r="F2297" s="123"/>
      <c r="G2297" s="124"/>
      <c r="H2297" s="125"/>
      <c r="I2297" s="126"/>
      <c r="J2297" s="126"/>
      <c r="K2297" s="159"/>
      <c r="L2297" s="160"/>
    </row>
    <row r="2298" spans="1:12" s="35" customFormat="1" ht="47.25" x14ac:dyDescent="0.2">
      <c r="A2298" s="129" t="str">
        <f>IF(F2298&lt;&gt;"",1+MAX($A$1:A2297),"")</f>
        <v/>
      </c>
      <c r="B2298" s="126"/>
      <c r="C2298" s="300"/>
      <c r="D2298" s="120"/>
      <c r="E2298" s="172" t="s">
        <v>898</v>
      </c>
      <c r="F2298" s="123"/>
      <c r="G2298" s="124"/>
      <c r="H2298" s="125"/>
      <c r="I2298" s="126"/>
      <c r="J2298" s="126"/>
      <c r="K2298" s="159"/>
      <c r="L2298" s="160"/>
    </row>
    <row r="2299" spans="1:12" s="35" customFormat="1" x14ac:dyDescent="0.2">
      <c r="A2299" s="129">
        <f ca="1">IF(F2299&lt;&gt;"",1+MAX($A$1:A2298),"")</f>
        <v>126</v>
      </c>
      <c r="B2299" s="126" t="s">
        <v>889</v>
      </c>
      <c r="C2299" s="120" t="s">
        <v>890</v>
      </c>
      <c r="D2299" s="120"/>
      <c r="E2299" s="122" t="s">
        <v>891</v>
      </c>
      <c r="F2299" s="123">
        <f>98*1.5</f>
        <v>147</v>
      </c>
      <c r="G2299" s="124">
        <v>0.1</v>
      </c>
      <c r="H2299" s="125">
        <f t="shared" ref="H2299:H2303" si="427">F2299*(1+G2299)</f>
        <v>161.70000000000002</v>
      </c>
      <c r="I2299" s="126" t="s">
        <v>18</v>
      </c>
      <c r="J2299" s="37">
        <f>J$196</f>
        <v>0</v>
      </c>
      <c r="K2299" s="159">
        <f t="shared" ref="K2299:K2303" si="428">J2299*H2299</f>
        <v>0</v>
      </c>
      <c r="L2299" s="160"/>
    </row>
    <row r="2300" spans="1:12" s="35" customFormat="1" x14ac:dyDescent="0.2">
      <c r="A2300" s="129">
        <f ca="1">IF(F2300&lt;&gt;"",1+MAX($A$1:A2299),"")</f>
        <v>127</v>
      </c>
      <c r="B2300" s="126" t="s">
        <v>889</v>
      </c>
      <c r="C2300" s="120" t="s">
        <v>890</v>
      </c>
      <c r="D2300" s="120"/>
      <c r="E2300" s="122" t="s">
        <v>892</v>
      </c>
      <c r="F2300" s="123">
        <v>98</v>
      </c>
      <c r="G2300" s="124">
        <v>0.1</v>
      </c>
      <c r="H2300" s="125">
        <f t="shared" si="427"/>
        <v>107.80000000000001</v>
      </c>
      <c r="I2300" s="126" t="s">
        <v>15</v>
      </c>
      <c r="J2300" s="37">
        <f>J$197</f>
        <v>0</v>
      </c>
      <c r="K2300" s="159">
        <f t="shared" si="428"/>
        <v>0</v>
      </c>
      <c r="L2300" s="160"/>
    </row>
    <row r="2301" spans="1:12" s="35" customFormat="1" x14ac:dyDescent="0.2">
      <c r="A2301" s="129">
        <f ca="1">IF(F2301&lt;&gt;"",1+MAX($A$1:A2300),"")</f>
        <v>128</v>
      </c>
      <c r="B2301" s="126" t="s">
        <v>889</v>
      </c>
      <c r="C2301" s="126" t="s">
        <v>893</v>
      </c>
      <c r="D2301" s="120"/>
      <c r="E2301" s="122" t="s">
        <v>894</v>
      </c>
      <c r="F2301" s="123">
        <f>1*98*0.668*1.2</f>
        <v>78.556799999999996</v>
      </c>
      <c r="G2301" s="124">
        <v>0.1</v>
      </c>
      <c r="H2301" s="125">
        <f t="shared" si="427"/>
        <v>86.412480000000002</v>
      </c>
      <c r="I2301" s="126" t="s">
        <v>292</v>
      </c>
      <c r="J2301" s="37">
        <f t="shared" ref="J2301:J2303" si="429">J$132</f>
        <v>0</v>
      </c>
      <c r="K2301" s="159">
        <f t="shared" si="428"/>
        <v>0</v>
      </c>
      <c r="L2301" s="160"/>
    </row>
    <row r="2302" spans="1:12" s="35" customFormat="1" x14ac:dyDescent="0.2">
      <c r="A2302" s="129">
        <f ca="1">IF(F2302&lt;&gt;"",1+MAX($A$1:A2301),"")</f>
        <v>129</v>
      </c>
      <c r="B2302" s="126" t="s">
        <v>889</v>
      </c>
      <c r="C2302" s="126" t="s">
        <v>893</v>
      </c>
      <c r="D2302" s="120"/>
      <c r="E2302" s="122" t="s">
        <v>895</v>
      </c>
      <c r="F2302" s="123">
        <f>(1.5/2+1)*98*0.668*1.2</f>
        <v>137.4744</v>
      </c>
      <c r="G2302" s="124">
        <v>0.1</v>
      </c>
      <c r="H2302" s="125">
        <f t="shared" si="427"/>
        <v>151.22184000000001</v>
      </c>
      <c r="I2302" s="126" t="s">
        <v>292</v>
      </c>
      <c r="J2302" s="37">
        <f t="shared" si="429"/>
        <v>0</v>
      </c>
      <c r="K2302" s="159">
        <f t="shared" si="428"/>
        <v>0</v>
      </c>
      <c r="L2302" s="160"/>
    </row>
    <row r="2303" spans="1:12" s="35" customFormat="1" x14ac:dyDescent="0.2">
      <c r="A2303" s="129">
        <f ca="1">IF(F2303&lt;&gt;"",1+MAX($A$1:A2302),"")</f>
        <v>130</v>
      </c>
      <c r="B2303" s="126" t="s">
        <v>889</v>
      </c>
      <c r="C2303" s="126" t="s">
        <v>893</v>
      </c>
      <c r="D2303" s="120"/>
      <c r="E2303" s="122" t="s">
        <v>896</v>
      </c>
      <c r="F2303" s="123">
        <f>(98/1.34+1)*3*0.668*1.2</f>
        <v>178.27823283582086</v>
      </c>
      <c r="G2303" s="124">
        <v>0.1</v>
      </c>
      <c r="H2303" s="125">
        <f t="shared" si="427"/>
        <v>196.10605611940295</v>
      </c>
      <c r="I2303" s="126" t="s">
        <v>292</v>
      </c>
      <c r="J2303" s="37">
        <f t="shared" si="429"/>
        <v>0</v>
      </c>
      <c r="K2303" s="159">
        <f t="shared" si="428"/>
        <v>0</v>
      </c>
      <c r="L2303" s="160"/>
    </row>
    <row r="2304" spans="1:12" s="35" customFormat="1" x14ac:dyDescent="0.2">
      <c r="A2304" s="129" t="str">
        <f>IF(F2304&lt;&gt;"",1+MAX($A$1:A2303),"")</f>
        <v/>
      </c>
      <c r="B2304" s="126"/>
      <c r="C2304" s="300"/>
      <c r="D2304" s="120"/>
      <c r="E2304" s="122"/>
      <c r="F2304" s="123"/>
      <c r="G2304" s="124"/>
      <c r="H2304" s="125"/>
      <c r="I2304" s="126"/>
      <c r="J2304" s="126"/>
      <c r="K2304" s="159"/>
      <c r="L2304" s="160"/>
    </row>
    <row r="2305" spans="1:12" s="35" customFormat="1" ht="78.75" x14ac:dyDescent="0.2">
      <c r="A2305" s="129">
        <f ca="1">IF(F2305&lt;&gt;"",1+MAX($A$1:A2304),"")</f>
        <v>131</v>
      </c>
      <c r="B2305" s="126" t="s">
        <v>841</v>
      </c>
      <c r="C2305" s="120" t="s">
        <v>899</v>
      </c>
      <c r="D2305" s="186">
        <f>0.67*1*F2305/27</f>
        <v>16.379018518518517</v>
      </c>
      <c r="E2305" s="122" t="s">
        <v>900</v>
      </c>
      <c r="F2305" s="123">
        <f>660.05</f>
        <v>660.05</v>
      </c>
      <c r="G2305" s="124">
        <v>0.1</v>
      </c>
      <c r="H2305" s="125">
        <f>F2305*(1+G2305)</f>
        <v>726.05500000000006</v>
      </c>
      <c r="I2305" s="126" t="s">
        <v>15</v>
      </c>
      <c r="J2305" s="37">
        <v>0</v>
      </c>
      <c r="K2305" s="159">
        <f>J2305*H2305</f>
        <v>0</v>
      </c>
      <c r="L2305" s="160"/>
    </row>
    <row r="2306" spans="1:12" s="35" customFormat="1" x14ac:dyDescent="0.2">
      <c r="A2306" s="129">
        <f ca="1">IF(F2306&lt;&gt;"",1+MAX($A$1:A2305),"")</f>
        <v>132</v>
      </c>
      <c r="B2306" s="126" t="s">
        <v>889</v>
      </c>
      <c r="C2306" s="126" t="s">
        <v>893</v>
      </c>
      <c r="D2306" s="120"/>
      <c r="E2306" s="122" t="s">
        <v>901</v>
      </c>
      <c r="F2306" s="123">
        <f>2*F2305*0.668*1.2</f>
        <v>1058.1921599999998</v>
      </c>
      <c r="G2306" s="124">
        <v>0.1</v>
      </c>
      <c r="H2306" s="125">
        <f>F2306*(1+G2306)</f>
        <v>1164.0113759999999</v>
      </c>
      <c r="I2306" s="126" t="s">
        <v>292</v>
      </c>
      <c r="J2306" s="37">
        <f>J$132</f>
        <v>0</v>
      </c>
      <c r="K2306" s="159">
        <f>J2306*H2306</f>
        <v>0</v>
      </c>
      <c r="L2306" s="160"/>
    </row>
    <row r="2307" spans="1:12" s="21" customFormat="1" x14ac:dyDescent="0.2">
      <c r="A2307" s="129" t="str">
        <f>IF(F2307&lt;&gt;"",1+MAX($A$1:A2306),"")</f>
        <v/>
      </c>
      <c r="B2307" s="126"/>
      <c r="C2307" s="120"/>
      <c r="D2307" s="189"/>
      <c r="E2307" s="296"/>
      <c r="F2307" s="125"/>
      <c r="G2307" s="184"/>
      <c r="H2307" s="125"/>
      <c r="I2307" s="126"/>
      <c r="J2307" s="127"/>
      <c r="K2307" s="159"/>
      <c r="L2307" s="212"/>
    </row>
    <row r="2308" spans="1:12" s="21" customFormat="1" x14ac:dyDescent="0.2">
      <c r="A2308" s="129" t="str">
        <f>IF(F2308&lt;&gt;"",1+MAX($A$1:A2307),"")</f>
        <v/>
      </c>
      <c r="B2308" s="120"/>
      <c r="C2308" s="120"/>
      <c r="D2308" s="189"/>
      <c r="E2308" s="190" t="s">
        <v>902</v>
      </c>
      <c r="F2308" s="123"/>
      <c r="G2308" s="184"/>
      <c r="H2308" s="125"/>
      <c r="I2308" s="126"/>
      <c r="J2308" s="127"/>
      <c r="K2308" s="105"/>
      <c r="L2308" s="11">
        <f>SUM(K2284:K2307)</f>
        <v>0</v>
      </c>
    </row>
    <row r="2309" spans="1:12" s="35" customFormat="1" x14ac:dyDescent="0.2">
      <c r="A2309" s="129" t="str">
        <f>IF(F2309&lt;&gt;"",1+MAX($A$1:A2308),"")</f>
        <v/>
      </c>
      <c r="B2309" s="126"/>
      <c r="C2309" s="120"/>
      <c r="D2309" s="120"/>
      <c r="E2309" s="122"/>
      <c r="F2309" s="123"/>
      <c r="G2309" s="184"/>
      <c r="H2309" s="125"/>
      <c r="I2309" s="126"/>
      <c r="J2309" s="37"/>
      <c r="K2309" s="159"/>
      <c r="L2309" s="160"/>
    </row>
    <row r="2310" spans="1:12" s="21" customFormat="1" x14ac:dyDescent="0.2">
      <c r="A2310" s="129" t="str">
        <f>IF(F2310&lt;&gt;"",1+MAX($A$1:A2309),"")</f>
        <v/>
      </c>
      <c r="B2310" s="126"/>
      <c r="C2310" s="120"/>
      <c r="D2310" s="189"/>
      <c r="E2310" s="172" t="s">
        <v>903</v>
      </c>
      <c r="F2310" s="123"/>
      <c r="G2310" s="184"/>
      <c r="H2310" s="125"/>
      <c r="I2310" s="126"/>
      <c r="J2310" s="23"/>
      <c r="K2310" s="207"/>
      <c r="L2310" s="160"/>
    </row>
    <row r="2311" spans="1:12" s="35" customFormat="1" x14ac:dyDescent="0.2">
      <c r="A2311" s="129" t="str">
        <f>IF(F2311&lt;&gt;"",1+MAX($A$1:A2310),"")</f>
        <v/>
      </c>
      <c r="B2311" s="126"/>
      <c r="C2311" s="120"/>
      <c r="D2311" s="120"/>
      <c r="E2311" s="172" t="s">
        <v>904</v>
      </c>
      <c r="F2311" s="123"/>
      <c r="G2311" s="184"/>
      <c r="H2311" s="125"/>
      <c r="I2311" s="126"/>
      <c r="J2311" s="37"/>
      <c r="K2311" s="159"/>
      <c r="L2311" s="160"/>
    </row>
    <row r="2312" spans="1:12" s="35" customFormat="1" ht="78.75" x14ac:dyDescent="0.2">
      <c r="A2312" s="129">
        <f ca="1">IF(F2312&lt;&gt;"",1+MAX($A$1:A2311),"")</f>
        <v>133</v>
      </c>
      <c r="B2312" s="126" t="s">
        <v>905</v>
      </c>
      <c r="C2312" s="120" t="s">
        <v>906</v>
      </c>
      <c r="D2312" s="120"/>
      <c r="E2312" s="122" t="s">
        <v>907</v>
      </c>
      <c r="F2312" s="123">
        <v>11.67</v>
      </c>
      <c r="G2312" s="124">
        <v>0.1</v>
      </c>
      <c r="H2312" s="125">
        <f t="shared" ref="H2312:H2336" si="430">F2312*(1+G2312)</f>
        <v>12.837000000000002</v>
      </c>
      <c r="I2312" s="126" t="s">
        <v>15</v>
      </c>
      <c r="J2312" s="37">
        <v>0</v>
      </c>
      <c r="K2312" s="159">
        <f t="shared" ref="K2312:K2336" si="431">J2312*H2312</f>
        <v>0</v>
      </c>
      <c r="L2312" s="160"/>
    </row>
    <row r="2313" spans="1:12" s="35" customFormat="1" x14ac:dyDescent="0.2">
      <c r="A2313" s="129">
        <f ca="1">IF(F2313&lt;&gt;"",1+MAX($A$1:A2312),"")</f>
        <v>134</v>
      </c>
      <c r="B2313" s="126" t="s">
        <v>905</v>
      </c>
      <c r="C2313" s="120" t="s">
        <v>906</v>
      </c>
      <c r="D2313" s="120"/>
      <c r="E2313" s="122" t="s">
        <v>1207</v>
      </c>
      <c r="F2313" s="123">
        <f>1*F2312*0.668*1.2</f>
        <v>9.354671999999999</v>
      </c>
      <c r="G2313" s="124">
        <v>0.1</v>
      </c>
      <c r="H2313" s="125">
        <f t="shared" si="430"/>
        <v>10.2901392</v>
      </c>
      <c r="I2313" s="126" t="s">
        <v>292</v>
      </c>
      <c r="J2313" s="37">
        <f>J$132</f>
        <v>0</v>
      </c>
      <c r="K2313" s="159">
        <f t="shared" si="431"/>
        <v>0</v>
      </c>
      <c r="L2313" s="160"/>
    </row>
    <row r="2314" spans="1:12" s="35" customFormat="1" x14ac:dyDescent="0.2">
      <c r="A2314" s="129" t="str">
        <f>IF(F2314&lt;&gt;"",1+MAX($A$1:A2313),"")</f>
        <v/>
      </c>
      <c r="B2314" s="126"/>
      <c r="C2314" s="120"/>
      <c r="D2314" s="120"/>
      <c r="E2314" s="122"/>
      <c r="F2314" s="123"/>
      <c r="G2314" s="124"/>
      <c r="H2314" s="125"/>
      <c r="I2314" s="126"/>
      <c r="J2314" s="126"/>
      <c r="K2314" s="159"/>
      <c r="L2314" s="160"/>
    </row>
    <row r="2315" spans="1:12" s="35" customFormat="1" ht="63" x14ac:dyDescent="0.2">
      <c r="A2315" s="129">
        <f ca="1">IF(F2315&lt;&gt;"",1+MAX($A$1:A2314),"")</f>
        <v>135</v>
      </c>
      <c r="B2315" s="126" t="s">
        <v>841</v>
      </c>
      <c r="C2315" s="120" t="s">
        <v>908</v>
      </c>
      <c r="D2315" s="120"/>
      <c r="E2315" s="122" t="s">
        <v>909</v>
      </c>
      <c r="F2315" s="123">
        <v>19.190000000000001</v>
      </c>
      <c r="G2315" s="124">
        <v>0.1</v>
      </c>
      <c r="H2315" s="125">
        <f t="shared" si="430"/>
        <v>21.109000000000002</v>
      </c>
      <c r="I2315" s="126" t="s">
        <v>15</v>
      </c>
      <c r="J2315" s="37">
        <v>0</v>
      </c>
      <c r="K2315" s="159">
        <f t="shared" si="431"/>
        <v>0</v>
      </c>
      <c r="L2315" s="160"/>
    </row>
    <row r="2316" spans="1:12" s="35" customFormat="1" x14ac:dyDescent="0.2">
      <c r="A2316" s="129">
        <f ca="1">IF(F2316&lt;&gt;"",1+MAX($A$1:A2315),"")</f>
        <v>136</v>
      </c>
      <c r="B2316" s="126" t="s">
        <v>905</v>
      </c>
      <c r="C2316" s="120" t="s">
        <v>908</v>
      </c>
      <c r="D2316" s="120"/>
      <c r="E2316" s="122" t="s">
        <v>460</v>
      </c>
      <c r="F2316" s="289">
        <f>0.42*1.5*1*8/27</f>
        <v>0.18666666666666668</v>
      </c>
      <c r="G2316" s="124">
        <v>0.1</v>
      </c>
      <c r="H2316" s="125">
        <f t="shared" si="430"/>
        <v>0.20533333333333337</v>
      </c>
      <c r="I2316" s="126" t="s">
        <v>461</v>
      </c>
      <c r="J2316" s="37">
        <v>0</v>
      </c>
      <c r="K2316" s="159">
        <f t="shared" si="431"/>
        <v>0</v>
      </c>
      <c r="L2316" s="160"/>
    </row>
    <row r="2317" spans="1:12" s="35" customFormat="1" ht="31.5" x14ac:dyDescent="0.2">
      <c r="A2317" s="129">
        <f ca="1">IF(F2317&lt;&gt;"",1+MAX($A$1:A2316),"")</f>
        <v>137</v>
      </c>
      <c r="B2317" s="126" t="s">
        <v>905</v>
      </c>
      <c r="C2317" s="120" t="s">
        <v>908</v>
      </c>
      <c r="D2317" s="120"/>
      <c r="E2317" s="122" t="s">
        <v>910</v>
      </c>
      <c r="F2317" s="123">
        <f>2*3*0.668*1.2*8</f>
        <v>38.476799999999997</v>
      </c>
      <c r="G2317" s="124">
        <v>0.1</v>
      </c>
      <c r="H2317" s="125">
        <f t="shared" si="430"/>
        <v>42.324480000000001</v>
      </c>
      <c r="I2317" s="126" t="s">
        <v>292</v>
      </c>
      <c r="J2317" s="37">
        <f>J$132</f>
        <v>0</v>
      </c>
      <c r="K2317" s="159">
        <f t="shared" si="431"/>
        <v>0</v>
      </c>
      <c r="L2317" s="160"/>
    </row>
    <row r="2318" spans="1:12" s="35" customFormat="1" x14ac:dyDescent="0.2">
      <c r="A2318" s="129" t="str">
        <f>IF(F2318&lt;&gt;"",1+MAX($A$1:A2317),"")</f>
        <v/>
      </c>
      <c r="B2318" s="126"/>
      <c r="C2318" s="120"/>
      <c r="D2318" s="120"/>
      <c r="E2318" s="122"/>
      <c r="F2318" s="123"/>
      <c r="G2318" s="124"/>
      <c r="H2318" s="125"/>
      <c r="I2318" s="126"/>
      <c r="J2318" s="126"/>
      <c r="K2318" s="159"/>
      <c r="L2318" s="160"/>
    </row>
    <row r="2319" spans="1:12" s="35" customFormat="1" x14ac:dyDescent="0.2">
      <c r="A2319" s="129" t="str">
        <f>IF(F2319&lt;&gt;"",1+MAX($A$1:A2318),"")</f>
        <v/>
      </c>
      <c r="B2319" s="126"/>
      <c r="C2319" s="120"/>
      <c r="D2319" s="120"/>
      <c r="E2319" s="172" t="s">
        <v>911</v>
      </c>
      <c r="F2319" s="123"/>
      <c r="G2319" s="184"/>
      <c r="H2319" s="125"/>
      <c r="I2319" s="126"/>
      <c r="J2319" s="37"/>
      <c r="K2319" s="159"/>
      <c r="L2319" s="160"/>
    </row>
    <row r="2320" spans="1:12" s="35" customFormat="1" ht="47.25" x14ac:dyDescent="0.2">
      <c r="A2320" s="129">
        <f ca="1">IF(F2320&lt;&gt;"",1+MAX($A$1:A2319),"")</f>
        <v>138</v>
      </c>
      <c r="B2320" s="126" t="s">
        <v>841</v>
      </c>
      <c r="C2320" s="120" t="s">
        <v>912</v>
      </c>
      <c r="D2320" s="120"/>
      <c r="E2320" s="122" t="s">
        <v>913</v>
      </c>
      <c r="F2320" s="123">
        <v>3</v>
      </c>
      <c r="G2320" s="124">
        <v>0</v>
      </c>
      <c r="H2320" s="125">
        <f t="shared" si="430"/>
        <v>3</v>
      </c>
      <c r="I2320" s="126" t="s">
        <v>20</v>
      </c>
      <c r="J2320" s="37">
        <v>0</v>
      </c>
      <c r="K2320" s="159">
        <f t="shared" si="431"/>
        <v>0</v>
      </c>
      <c r="L2320" s="160"/>
    </row>
    <row r="2321" spans="1:12" s="35" customFormat="1" x14ac:dyDescent="0.2">
      <c r="A2321" s="129" t="str">
        <f>IF(F2321&lt;&gt;"",1+MAX($A$1:A2320),"")</f>
        <v/>
      </c>
      <c r="B2321" s="126"/>
      <c r="C2321" s="120"/>
      <c r="D2321" s="120"/>
      <c r="E2321" s="122"/>
      <c r="F2321" s="123"/>
      <c r="G2321" s="124"/>
      <c r="H2321" s="125"/>
      <c r="I2321" s="126"/>
      <c r="J2321" s="126"/>
      <c r="K2321" s="159"/>
      <c r="L2321" s="160"/>
    </row>
    <row r="2322" spans="1:12" s="35" customFormat="1" x14ac:dyDescent="0.2">
      <c r="A2322" s="129" t="str">
        <f>IF(F2322&lt;&gt;"",1+MAX($A$1:A2321),"")</f>
        <v/>
      </c>
      <c r="B2322" s="126"/>
      <c r="C2322" s="120"/>
      <c r="D2322" s="120"/>
      <c r="E2322" s="172" t="s">
        <v>914</v>
      </c>
      <c r="F2322" s="123"/>
      <c r="G2322" s="184"/>
      <c r="H2322" s="125"/>
      <c r="I2322" s="126"/>
      <c r="J2322" s="37"/>
      <c r="K2322" s="159"/>
      <c r="L2322" s="160"/>
    </row>
    <row r="2323" spans="1:12" s="35" customFormat="1" ht="63" x14ac:dyDescent="0.2">
      <c r="A2323" s="129">
        <f ca="1">IF(F2323&lt;&gt;"",1+MAX($A$1:A2322),"")</f>
        <v>139</v>
      </c>
      <c r="B2323" s="126" t="s">
        <v>905</v>
      </c>
      <c r="C2323" s="120" t="s">
        <v>915</v>
      </c>
      <c r="D2323" s="120"/>
      <c r="E2323" s="122" t="s">
        <v>916</v>
      </c>
      <c r="F2323" s="123">
        <v>2</v>
      </c>
      <c r="G2323" s="124">
        <v>0</v>
      </c>
      <c r="H2323" s="125">
        <f t="shared" si="430"/>
        <v>2</v>
      </c>
      <c r="I2323" s="126" t="s">
        <v>20</v>
      </c>
      <c r="J2323" s="37">
        <v>0</v>
      </c>
      <c r="K2323" s="159">
        <f t="shared" si="431"/>
        <v>0</v>
      </c>
      <c r="L2323" s="160"/>
    </row>
    <row r="2324" spans="1:12" s="35" customFormat="1" x14ac:dyDescent="0.2">
      <c r="A2324" s="129">
        <f ca="1">IF(F2324&lt;&gt;"",1+MAX($A$1:A2323),"")</f>
        <v>140</v>
      </c>
      <c r="B2324" s="126" t="s">
        <v>905</v>
      </c>
      <c r="C2324" s="120" t="s">
        <v>908</v>
      </c>
      <c r="D2324" s="120"/>
      <c r="E2324" s="122" t="s">
        <v>917</v>
      </c>
      <c r="F2324" s="289">
        <f>9*2.5*F2323/27</f>
        <v>1.6666666666666667</v>
      </c>
      <c r="G2324" s="124">
        <v>0.1</v>
      </c>
      <c r="H2324" s="125">
        <f t="shared" si="430"/>
        <v>1.8333333333333335</v>
      </c>
      <c r="I2324" s="126" t="s">
        <v>461</v>
      </c>
      <c r="J2324" s="37">
        <v>0</v>
      </c>
      <c r="K2324" s="159">
        <f t="shared" si="431"/>
        <v>0</v>
      </c>
      <c r="L2324" s="160"/>
    </row>
    <row r="2325" spans="1:12" s="35" customFormat="1" x14ac:dyDescent="0.2">
      <c r="A2325" s="129">
        <f ca="1">IF(F2325&lt;&gt;"",1+MAX($A$1:A2324),"")</f>
        <v>141</v>
      </c>
      <c r="B2325" s="126" t="s">
        <v>905</v>
      </c>
      <c r="C2325" s="120" t="s">
        <v>908</v>
      </c>
      <c r="D2325" s="120"/>
      <c r="E2325" s="122" t="s">
        <v>918</v>
      </c>
      <c r="F2325" s="289">
        <f>9*0.34*F2323/27</f>
        <v>0.22666666666666668</v>
      </c>
      <c r="G2325" s="124">
        <v>0.1</v>
      </c>
      <c r="H2325" s="125">
        <f t="shared" si="430"/>
        <v>0.24933333333333338</v>
      </c>
      <c r="I2325" s="126" t="s">
        <v>461</v>
      </c>
      <c r="J2325" s="37">
        <v>0</v>
      </c>
      <c r="K2325" s="159">
        <f t="shared" si="431"/>
        <v>0</v>
      </c>
      <c r="L2325" s="160"/>
    </row>
    <row r="2326" spans="1:12" s="35" customFormat="1" x14ac:dyDescent="0.2">
      <c r="A2326" s="129" t="str">
        <f>IF(F2326&lt;&gt;"",1+MAX($A$1:A2325),"")</f>
        <v/>
      </c>
      <c r="B2326" s="126"/>
      <c r="C2326" s="120"/>
      <c r="D2326" s="120"/>
      <c r="E2326" s="122"/>
      <c r="F2326" s="123"/>
      <c r="G2326" s="124"/>
      <c r="H2326" s="125"/>
      <c r="I2326" s="126"/>
      <c r="J2326" s="126"/>
      <c r="K2326" s="159"/>
      <c r="L2326" s="160"/>
    </row>
    <row r="2327" spans="1:12" s="35" customFormat="1" x14ac:dyDescent="0.2">
      <c r="A2327" s="129" t="str">
        <f>IF(F2327&lt;&gt;"",1+MAX($A$1:A2326),"")</f>
        <v/>
      </c>
      <c r="B2327" s="126"/>
      <c r="C2327" s="120"/>
      <c r="D2327" s="120"/>
      <c r="E2327" s="172" t="s">
        <v>919</v>
      </c>
      <c r="F2327" s="123"/>
      <c r="G2327" s="184"/>
      <c r="H2327" s="125"/>
      <c r="I2327" s="126"/>
      <c r="J2327" s="37"/>
      <c r="K2327" s="159"/>
      <c r="L2327" s="160"/>
    </row>
    <row r="2328" spans="1:12" s="35" customFormat="1" ht="78.75" x14ac:dyDescent="0.2">
      <c r="A2328" s="129">
        <f ca="1">IF(F2328&lt;&gt;"",1+MAX($A$1:A2327),"")</f>
        <v>142</v>
      </c>
      <c r="B2328" s="126" t="s">
        <v>841</v>
      </c>
      <c r="C2328" s="120" t="s">
        <v>920</v>
      </c>
      <c r="D2328" s="120"/>
      <c r="E2328" s="122" t="s">
        <v>921</v>
      </c>
      <c r="F2328" s="123">
        <v>1</v>
      </c>
      <c r="G2328" s="124">
        <v>0</v>
      </c>
      <c r="H2328" s="125">
        <f t="shared" si="430"/>
        <v>1</v>
      </c>
      <c r="I2328" s="126" t="s">
        <v>20</v>
      </c>
      <c r="J2328" s="37">
        <v>0</v>
      </c>
      <c r="K2328" s="159">
        <f t="shared" si="431"/>
        <v>0</v>
      </c>
      <c r="L2328" s="160"/>
    </row>
    <row r="2329" spans="1:12" s="35" customFormat="1" ht="78.75" x14ac:dyDescent="0.2">
      <c r="A2329" s="129">
        <f ca="1">IF(F2329&lt;&gt;"",1+MAX($A$1:A2328),"")</f>
        <v>143</v>
      </c>
      <c r="B2329" s="126" t="s">
        <v>841</v>
      </c>
      <c r="C2329" s="120" t="s">
        <v>920</v>
      </c>
      <c r="D2329" s="120"/>
      <c r="E2329" s="122" t="s">
        <v>922</v>
      </c>
      <c r="F2329" s="123">
        <v>1</v>
      </c>
      <c r="G2329" s="124">
        <v>0</v>
      </c>
      <c r="H2329" s="125">
        <f t="shared" si="430"/>
        <v>1</v>
      </c>
      <c r="I2329" s="126" t="s">
        <v>20</v>
      </c>
      <c r="J2329" s="37">
        <v>0</v>
      </c>
      <c r="K2329" s="159">
        <f t="shared" si="431"/>
        <v>0</v>
      </c>
      <c r="L2329" s="160"/>
    </row>
    <row r="2330" spans="1:12" s="35" customFormat="1" x14ac:dyDescent="0.2">
      <c r="A2330" s="129" t="str">
        <f>IF(F2330&lt;&gt;"",1+MAX($A$1:A2329),"")</f>
        <v/>
      </c>
      <c r="B2330" s="126"/>
      <c r="C2330" s="120"/>
      <c r="D2330" s="120"/>
      <c r="E2330" s="122"/>
      <c r="F2330" s="123"/>
      <c r="G2330" s="124"/>
      <c r="H2330" s="125"/>
      <c r="I2330" s="126"/>
      <c r="J2330" s="37"/>
      <c r="K2330" s="159"/>
      <c r="L2330" s="160"/>
    </row>
    <row r="2331" spans="1:12" s="35" customFormat="1" x14ac:dyDescent="0.2">
      <c r="A2331" s="129" t="str">
        <f>IF(F2331&lt;&gt;"",1+MAX($A$1:A2330),"")</f>
        <v/>
      </c>
      <c r="B2331" s="126"/>
      <c r="C2331" s="120"/>
      <c r="D2331" s="120"/>
      <c r="E2331" s="172" t="s">
        <v>923</v>
      </c>
      <c r="F2331" s="123"/>
      <c r="G2331" s="184"/>
      <c r="H2331" s="125"/>
      <c r="I2331" s="126"/>
      <c r="J2331" s="37"/>
      <c r="K2331" s="159"/>
      <c r="L2331" s="160"/>
    </row>
    <row r="2332" spans="1:12" s="35" customFormat="1" ht="47.25" x14ac:dyDescent="0.2">
      <c r="A2332" s="129">
        <f ca="1">IF(F2332&lt;&gt;"",1+MAX($A$1:A2331),"")</f>
        <v>144</v>
      </c>
      <c r="B2332" s="126" t="s">
        <v>905</v>
      </c>
      <c r="C2332" s="120" t="s">
        <v>912</v>
      </c>
      <c r="D2332" s="120"/>
      <c r="E2332" s="122" t="s">
        <v>924</v>
      </c>
      <c r="F2332" s="123">
        <v>2</v>
      </c>
      <c r="G2332" s="124">
        <v>0</v>
      </c>
      <c r="H2332" s="125">
        <f t="shared" si="430"/>
        <v>2</v>
      </c>
      <c r="I2332" s="126" t="s">
        <v>20</v>
      </c>
      <c r="J2332" s="37">
        <v>0</v>
      </c>
      <c r="K2332" s="159">
        <f t="shared" si="431"/>
        <v>0</v>
      </c>
      <c r="L2332" s="160"/>
    </row>
    <row r="2333" spans="1:12" s="35" customFormat="1" ht="47.25" x14ac:dyDescent="0.2">
      <c r="A2333" s="129">
        <f ca="1">IF(F2333&lt;&gt;"",1+MAX($A$1:A2332),"")</f>
        <v>145</v>
      </c>
      <c r="B2333" s="126" t="s">
        <v>841</v>
      </c>
      <c r="C2333" s="120" t="s">
        <v>912</v>
      </c>
      <c r="D2333" s="120"/>
      <c r="E2333" s="122" t="s">
        <v>925</v>
      </c>
      <c r="F2333" s="123">
        <v>1</v>
      </c>
      <c r="G2333" s="124">
        <v>0</v>
      </c>
      <c r="H2333" s="125">
        <f t="shared" si="430"/>
        <v>1</v>
      </c>
      <c r="I2333" s="126" t="s">
        <v>20</v>
      </c>
      <c r="J2333" s="37">
        <v>0</v>
      </c>
      <c r="K2333" s="159">
        <f t="shared" si="431"/>
        <v>0</v>
      </c>
      <c r="L2333" s="160"/>
    </row>
    <row r="2334" spans="1:12" s="35" customFormat="1" x14ac:dyDescent="0.2">
      <c r="A2334" s="129" t="str">
        <f>IF(F2334&lt;&gt;"",1+MAX($A$1:A2333),"")</f>
        <v/>
      </c>
      <c r="B2334" s="126"/>
      <c r="C2334" s="120"/>
      <c r="D2334" s="120"/>
      <c r="E2334" s="122"/>
      <c r="F2334" s="123"/>
      <c r="G2334" s="124"/>
      <c r="H2334" s="125"/>
      <c r="I2334" s="126"/>
      <c r="J2334" s="37"/>
      <c r="K2334" s="159"/>
      <c r="L2334" s="160"/>
    </row>
    <row r="2335" spans="1:12" s="35" customFormat="1" x14ac:dyDescent="0.2">
      <c r="A2335" s="129" t="str">
        <f>IF(F2335&lt;&gt;"",1+MAX($A$1:A2334),"")</f>
        <v/>
      </c>
      <c r="B2335" s="126"/>
      <c r="C2335" s="120"/>
      <c r="D2335" s="120"/>
      <c r="E2335" s="172" t="s">
        <v>926</v>
      </c>
      <c r="F2335" s="123"/>
      <c r="G2335" s="184"/>
      <c r="H2335" s="125"/>
      <c r="I2335" s="126"/>
      <c r="J2335" s="37"/>
      <c r="K2335" s="159"/>
      <c r="L2335" s="160"/>
    </row>
    <row r="2336" spans="1:12" s="35" customFormat="1" ht="173.25" x14ac:dyDescent="0.2">
      <c r="A2336" s="129">
        <f ca="1">IF(F2336&lt;&gt;"",1+MAX($A$1:A2335),"")</f>
        <v>146</v>
      </c>
      <c r="B2336" s="126" t="s">
        <v>841</v>
      </c>
      <c r="C2336" s="120" t="s">
        <v>927</v>
      </c>
      <c r="D2336" s="120"/>
      <c r="E2336" s="122" t="s">
        <v>928</v>
      </c>
      <c r="F2336" s="123">
        <v>151</v>
      </c>
      <c r="G2336" s="124">
        <v>0.1</v>
      </c>
      <c r="H2336" s="125">
        <f t="shared" si="430"/>
        <v>166.10000000000002</v>
      </c>
      <c r="I2336" s="126" t="s">
        <v>18</v>
      </c>
      <c r="J2336" s="37">
        <v>0</v>
      </c>
      <c r="K2336" s="159">
        <f t="shared" si="431"/>
        <v>0</v>
      </c>
      <c r="L2336" s="160"/>
    </row>
    <row r="2337" spans="1:12" s="35" customFormat="1" x14ac:dyDescent="0.2">
      <c r="A2337" s="129" t="str">
        <f>IF(F2337&lt;&gt;"",1+MAX($A$1:A2336),"")</f>
        <v/>
      </c>
      <c r="B2337" s="126"/>
      <c r="C2337" s="120"/>
      <c r="D2337" s="120"/>
      <c r="E2337" s="122"/>
      <c r="F2337" s="123"/>
      <c r="G2337" s="184"/>
      <c r="H2337" s="125"/>
      <c r="I2337" s="126"/>
      <c r="J2337" s="37"/>
      <c r="K2337" s="159"/>
      <c r="L2337" s="160"/>
    </row>
    <row r="2338" spans="1:12" s="35" customFormat="1" x14ac:dyDescent="0.2">
      <c r="A2338" s="129" t="str">
        <f>IF(F2338&lt;&gt;"",1+MAX($A$1:A2337),"")</f>
        <v/>
      </c>
      <c r="B2338" s="126"/>
      <c r="C2338" s="120"/>
      <c r="D2338" s="120"/>
      <c r="E2338" s="172" t="s">
        <v>929</v>
      </c>
      <c r="F2338" s="123"/>
      <c r="G2338" s="184"/>
      <c r="H2338" s="125"/>
      <c r="I2338" s="126"/>
      <c r="J2338" s="37"/>
      <c r="K2338" s="159"/>
      <c r="L2338" s="160"/>
    </row>
    <row r="2339" spans="1:12" s="35" customFormat="1" ht="47.25" x14ac:dyDescent="0.2">
      <c r="A2339" s="129">
        <f ca="1">IF(F2339&lt;&gt;"",1+MAX($A$1:A2338),"")</f>
        <v>147</v>
      </c>
      <c r="B2339" s="126" t="s">
        <v>841</v>
      </c>
      <c r="C2339" s="120" t="s">
        <v>884</v>
      </c>
      <c r="D2339" s="120"/>
      <c r="E2339" s="122" t="s">
        <v>930</v>
      </c>
      <c r="F2339" s="123">
        <v>2</v>
      </c>
      <c r="G2339" s="124">
        <v>0</v>
      </c>
      <c r="H2339" s="125">
        <f t="shared" ref="H2339:H2344" si="432">F2339*(1+G2339)</f>
        <v>2</v>
      </c>
      <c r="I2339" s="126" t="s">
        <v>20</v>
      </c>
      <c r="J2339" s="37">
        <v>0</v>
      </c>
      <c r="K2339" s="159">
        <f t="shared" ref="K2339:K2344" si="433">J2339*H2339</f>
        <v>0</v>
      </c>
      <c r="L2339" s="160"/>
    </row>
    <row r="2340" spans="1:12" s="35" customFormat="1" x14ac:dyDescent="0.2">
      <c r="A2340" s="129" t="str">
        <f>IF(F2340&lt;&gt;"",1+MAX($A$1:A2339),"")</f>
        <v/>
      </c>
      <c r="B2340" s="126"/>
      <c r="C2340" s="120"/>
      <c r="D2340" s="120"/>
      <c r="E2340" s="122"/>
      <c r="F2340" s="123"/>
      <c r="G2340" s="184"/>
      <c r="H2340" s="125"/>
      <c r="I2340" s="126"/>
      <c r="J2340" s="37"/>
      <c r="K2340" s="159"/>
      <c r="L2340" s="160"/>
    </row>
    <row r="2341" spans="1:12" s="35" customFormat="1" x14ac:dyDescent="0.2">
      <c r="A2341" s="129" t="str">
        <f>IF(F2341&lt;&gt;"",1+MAX($A$1:A2340),"")</f>
        <v/>
      </c>
      <c r="B2341" s="126"/>
      <c r="C2341" s="120"/>
      <c r="D2341" s="120"/>
      <c r="E2341" s="172" t="s">
        <v>931</v>
      </c>
      <c r="F2341" s="123"/>
      <c r="G2341" s="184"/>
      <c r="H2341" s="125"/>
      <c r="I2341" s="126"/>
      <c r="J2341" s="37"/>
      <c r="K2341" s="159"/>
      <c r="L2341" s="160"/>
    </row>
    <row r="2342" spans="1:12" s="35" customFormat="1" ht="47.25" x14ac:dyDescent="0.2">
      <c r="A2342" s="129">
        <f ca="1">IF(F2342&lt;&gt;"",1+MAX($A$1:A2341),"")</f>
        <v>148</v>
      </c>
      <c r="B2342" s="126" t="s">
        <v>883</v>
      </c>
      <c r="C2342" s="120" t="s">
        <v>932</v>
      </c>
      <c r="D2342" s="120"/>
      <c r="E2342" s="122" t="s">
        <v>933</v>
      </c>
      <c r="F2342" s="123">
        <v>4</v>
      </c>
      <c r="G2342" s="124">
        <v>0</v>
      </c>
      <c r="H2342" s="125">
        <f t="shared" si="432"/>
        <v>4</v>
      </c>
      <c r="I2342" s="126" t="s">
        <v>20</v>
      </c>
      <c r="J2342" s="37">
        <v>0</v>
      </c>
      <c r="K2342" s="159">
        <f t="shared" si="433"/>
        <v>0</v>
      </c>
      <c r="L2342" s="160"/>
    </row>
    <row r="2343" spans="1:12" s="35" customFormat="1" ht="47.25" x14ac:dyDescent="0.2">
      <c r="A2343" s="129">
        <f ca="1">IF(F2343&lt;&gt;"",1+MAX($A$1:A2342),"")</f>
        <v>149</v>
      </c>
      <c r="B2343" s="126" t="s">
        <v>883</v>
      </c>
      <c r="C2343" s="120" t="s">
        <v>884</v>
      </c>
      <c r="D2343" s="120"/>
      <c r="E2343" s="122" t="s">
        <v>934</v>
      </c>
      <c r="F2343" s="123">
        <v>1</v>
      </c>
      <c r="G2343" s="124">
        <v>0</v>
      </c>
      <c r="H2343" s="125">
        <f t="shared" si="432"/>
        <v>1</v>
      </c>
      <c r="I2343" s="126" t="s">
        <v>20</v>
      </c>
      <c r="J2343" s="37">
        <v>0</v>
      </c>
      <c r="K2343" s="159">
        <f t="shared" si="433"/>
        <v>0</v>
      </c>
      <c r="L2343" s="160"/>
    </row>
    <row r="2344" spans="1:12" s="35" customFormat="1" ht="47.25" x14ac:dyDescent="0.2">
      <c r="A2344" s="129">
        <f ca="1">IF(F2344&lt;&gt;"",1+MAX($A$1:A2343),"")</f>
        <v>150</v>
      </c>
      <c r="B2344" s="126" t="s">
        <v>883</v>
      </c>
      <c r="C2344" s="120" t="s">
        <v>932</v>
      </c>
      <c r="D2344" s="120"/>
      <c r="E2344" s="122" t="s">
        <v>935</v>
      </c>
      <c r="F2344" s="123">
        <v>18</v>
      </c>
      <c r="G2344" s="124">
        <v>0</v>
      </c>
      <c r="H2344" s="125">
        <f t="shared" si="432"/>
        <v>18</v>
      </c>
      <c r="I2344" s="126" t="s">
        <v>20</v>
      </c>
      <c r="J2344" s="37">
        <v>0</v>
      </c>
      <c r="K2344" s="159">
        <f t="shared" si="433"/>
        <v>0</v>
      </c>
      <c r="L2344" s="160"/>
    </row>
    <row r="2345" spans="1:12" s="35" customFormat="1" ht="47.25" x14ac:dyDescent="0.2">
      <c r="A2345" s="129">
        <f ca="1">IF(F2345&lt;&gt;"",1+MAX($A$1:A2344),"")</f>
        <v>151</v>
      </c>
      <c r="B2345" s="126" t="s">
        <v>883</v>
      </c>
      <c r="C2345" s="120" t="s">
        <v>932</v>
      </c>
      <c r="D2345" s="120"/>
      <c r="E2345" s="122" t="s">
        <v>936</v>
      </c>
      <c r="F2345" s="123">
        <v>3</v>
      </c>
      <c r="G2345" s="124">
        <v>0</v>
      </c>
      <c r="H2345" s="125">
        <f>F2345*(1+G2345)</f>
        <v>3</v>
      </c>
      <c r="I2345" s="126" t="s">
        <v>20</v>
      </c>
      <c r="J2345" s="37">
        <v>0</v>
      </c>
      <c r="K2345" s="159">
        <f>J2345*H2345</f>
        <v>0</v>
      </c>
      <c r="L2345" s="160"/>
    </row>
    <row r="2346" spans="1:12" s="35" customFormat="1" ht="47.25" x14ac:dyDescent="0.2">
      <c r="A2346" s="129">
        <f ca="1">IF(F2346&lt;&gt;"",1+MAX($A$1:A2345),"")</f>
        <v>152</v>
      </c>
      <c r="B2346" s="126" t="s">
        <v>883</v>
      </c>
      <c r="C2346" s="120" t="s">
        <v>932</v>
      </c>
      <c r="D2346" s="120"/>
      <c r="E2346" s="122" t="s">
        <v>937</v>
      </c>
      <c r="F2346" s="123">
        <v>3</v>
      </c>
      <c r="G2346" s="124">
        <v>0</v>
      </c>
      <c r="H2346" s="125">
        <f>F2346*(1+G2346)</f>
        <v>3</v>
      </c>
      <c r="I2346" s="126" t="s">
        <v>20</v>
      </c>
      <c r="J2346" s="37">
        <v>0</v>
      </c>
      <c r="K2346" s="159">
        <f>J2346*H2346</f>
        <v>0</v>
      </c>
      <c r="L2346" s="160"/>
    </row>
    <row r="2347" spans="1:12" s="35" customFormat="1" x14ac:dyDescent="0.2">
      <c r="A2347" s="129" t="str">
        <f>IF(F2347&lt;&gt;"",1+MAX($A$1:A2346),"")</f>
        <v/>
      </c>
      <c r="B2347" s="126"/>
      <c r="C2347" s="120"/>
      <c r="D2347" s="120"/>
      <c r="E2347" s="122"/>
      <c r="F2347" s="123"/>
      <c r="G2347" s="184"/>
      <c r="H2347" s="125"/>
      <c r="I2347" s="126"/>
      <c r="J2347" s="37"/>
      <c r="K2347" s="159"/>
      <c r="L2347" s="160"/>
    </row>
    <row r="2348" spans="1:12" s="35" customFormat="1" x14ac:dyDescent="0.2">
      <c r="A2348" s="129" t="str">
        <f>IF(F2348&lt;&gt;"",1+MAX($A$1:A2347),"")</f>
        <v/>
      </c>
      <c r="B2348" s="126"/>
      <c r="C2348" s="120"/>
      <c r="D2348" s="120"/>
      <c r="E2348" s="172" t="s">
        <v>938</v>
      </c>
      <c r="F2348" s="123"/>
      <c r="G2348" s="184"/>
      <c r="H2348" s="125"/>
      <c r="I2348" s="126"/>
      <c r="J2348" s="37"/>
      <c r="K2348" s="159"/>
      <c r="L2348" s="160"/>
    </row>
    <row r="2349" spans="1:12" s="35" customFormat="1" ht="47.25" x14ac:dyDescent="0.2">
      <c r="A2349" s="129">
        <f ca="1">IF(F2349&lt;&gt;"",1+MAX($A$1:A2348),"")</f>
        <v>153</v>
      </c>
      <c r="B2349" s="126" t="s">
        <v>883</v>
      </c>
      <c r="C2349" s="120" t="s">
        <v>884</v>
      </c>
      <c r="D2349" s="120"/>
      <c r="E2349" s="122" t="s">
        <v>939</v>
      </c>
      <c r="F2349" s="123">
        <v>2</v>
      </c>
      <c r="G2349" s="124">
        <v>0</v>
      </c>
      <c r="H2349" s="125">
        <f t="shared" ref="H2349" si="434">F2349*(1+G2349)</f>
        <v>2</v>
      </c>
      <c r="I2349" s="126" t="s">
        <v>20</v>
      </c>
      <c r="J2349" s="37">
        <v>0</v>
      </c>
      <c r="K2349" s="159">
        <f t="shared" ref="K2349" si="435">J2349*H2349</f>
        <v>0</v>
      </c>
      <c r="L2349" s="160"/>
    </row>
    <row r="2350" spans="1:12" s="35" customFormat="1" x14ac:dyDescent="0.2">
      <c r="A2350" s="129" t="str">
        <f>IF(F2350&lt;&gt;"",1+MAX($A$1:A2349),"")</f>
        <v/>
      </c>
      <c r="B2350" s="126"/>
      <c r="C2350" s="120"/>
      <c r="D2350" s="120"/>
      <c r="E2350" s="122"/>
      <c r="F2350" s="123"/>
      <c r="G2350" s="184"/>
      <c r="H2350" s="125"/>
      <c r="I2350" s="126"/>
      <c r="J2350" s="37"/>
      <c r="K2350" s="159"/>
      <c r="L2350" s="160"/>
    </row>
    <row r="2351" spans="1:12" s="35" customFormat="1" x14ac:dyDescent="0.2">
      <c r="A2351" s="129" t="str">
        <f>IF(F2351&lt;&gt;"",1+MAX($A$1:A2350),"")</f>
        <v/>
      </c>
      <c r="B2351" s="126"/>
      <c r="C2351" s="120"/>
      <c r="D2351" s="120"/>
      <c r="E2351" s="172" t="s">
        <v>940</v>
      </c>
      <c r="F2351" s="123"/>
      <c r="G2351" s="184"/>
      <c r="H2351" s="125"/>
      <c r="I2351" s="126"/>
      <c r="J2351" s="37"/>
      <c r="K2351" s="159"/>
      <c r="L2351" s="160"/>
    </row>
    <row r="2352" spans="1:12" s="35" customFormat="1" x14ac:dyDescent="0.2">
      <c r="A2352" s="129">
        <f ca="1">IF(F2352&lt;&gt;"",1+MAX($A$1:A2351),"")</f>
        <v>154</v>
      </c>
      <c r="B2352" s="126" t="s">
        <v>841</v>
      </c>
      <c r="C2352" s="120" t="s">
        <v>941</v>
      </c>
      <c r="D2352" s="120"/>
      <c r="E2352" s="122" t="s">
        <v>942</v>
      </c>
      <c r="F2352" s="123">
        <v>81.99</v>
      </c>
      <c r="G2352" s="124">
        <v>0.1</v>
      </c>
      <c r="H2352" s="125">
        <f>F2352*(1+G2352)</f>
        <v>90.189000000000007</v>
      </c>
      <c r="I2352" s="126" t="s">
        <v>15</v>
      </c>
      <c r="J2352" s="37">
        <v>0</v>
      </c>
      <c r="K2352" s="159">
        <f>J2352*H2352</f>
        <v>0</v>
      </c>
      <c r="L2352" s="160"/>
    </row>
    <row r="2353" spans="1:12" s="35" customFormat="1" ht="47.25" x14ac:dyDescent="0.2">
      <c r="A2353" s="129">
        <f ca="1">IF(F2353&lt;&gt;"",1+MAX($A$1:A2352),"")</f>
        <v>155</v>
      </c>
      <c r="B2353" s="126" t="s">
        <v>841</v>
      </c>
      <c r="C2353" s="120" t="s">
        <v>941</v>
      </c>
      <c r="D2353" s="120"/>
      <c r="E2353" s="122" t="s">
        <v>943</v>
      </c>
      <c r="F2353" s="123">
        <v>4</v>
      </c>
      <c r="G2353" s="124">
        <v>0</v>
      </c>
      <c r="H2353" s="125">
        <f>F2353*(1+G2353)</f>
        <v>4</v>
      </c>
      <c r="I2353" s="126" t="s">
        <v>20</v>
      </c>
      <c r="J2353" s="37">
        <v>0</v>
      </c>
      <c r="K2353" s="159">
        <f>J2353*H2353</f>
        <v>0</v>
      </c>
      <c r="L2353" s="160"/>
    </row>
    <row r="2354" spans="1:12" s="21" customFormat="1" x14ac:dyDescent="0.2">
      <c r="A2354" s="129" t="str">
        <f>IF(F2354&lt;&gt;"",1+MAX($A$1:A2353),"")</f>
        <v/>
      </c>
      <c r="B2354" s="126"/>
      <c r="C2354" s="120"/>
      <c r="D2354" s="189"/>
      <c r="E2354" s="296"/>
      <c r="F2354" s="125"/>
      <c r="G2354" s="184"/>
      <c r="H2354" s="125"/>
      <c r="I2354" s="126"/>
      <c r="J2354" s="127"/>
      <c r="K2354" s="159"/>
      <c r="L2354" s="212"/>
    </row>
    <row r="2355" spans="1:12" s="21" customFormat="1" x14ac:dyDescent="0.2">
      <c r="A2355" s="129" t="str">
        <f>IF(F2355&lt;&gt;"",1+MAX($A$1:A2354),"")</f>
        <v/>
      </c>
      <c r="B2355" s="120"/>
      <c r="C2355" s="120"/>
      <c r="D2355" s="189"/>
      <c r="E2355" s="190" t="s">
        <v>944</v>
      </c>
      <c r="F2355" s="123"/>
      <c r="G2355" s="184"/>
      <c r="H2355" s="125"/>
      <c r="I2355" s="126"/>
      <c r="J2355" s="127"/>
      <c r="K2355" s="105"/>
      <c r="L2355" s="11">
        <f>SUM(K2310:K2354)</f>
        <v>0</v>
      </c>
    </row>
    <row r="2356" spans="1:12" s="35" customFormat="1" x14ac:dyDescent="0.2">
      <c r="A2356" s="129" t="str">
        <f>IF(F2356&lt;&gt;"",1+MAX($A$1:A2355),"")</f>
        <v/>
      </c>
      <c r="B2356" s="126"/>
      <c r="C2356" s="120"/>
      <c r="D2356" s="120"/>
      <c r="E2356" s="122"/>
      <c r="F2356" s="123"/>
      <c r="G2356" s="184"/>
      <c r="H2356" s="125"/>
      <c r="I2356" s="126"/>
      <c r="J2356" s="37"/>
      <c r="K2356" s="159"/>
      <c r="L2356" s="160"/>
    </row>
    <row r="2357" spans="1:12" s="21" customFormat="1" x14ac:dyDescent="0.2">
      <c r="A2357" s="129" t="str">
        <f>IF(F2357&lt;&gt;"",1+MAX($A$1:A2356),"")</f>
        <v/>
      </c>
      <c r="B2357" s="126"/>
      <c r="C2357" s="120"/>
      <c r="D2357" s="189"/>
      <c r="E2357" s="172" t="s">
        <v>945</v>
      </c>
      <c r="F2357" s="123"/>
      <c r="G2357" s="184"/>
      <c r="H2357" s="125"/>
      <c r="I2357" s="126"/>
      <c r="J2357" s="23"/>
      <c r="K2357" s="207"/>
      <c r="L2357" s="160"/>
    </row>
    <row r="2358" spans="1:12" s="35" customFormat="1" x14ac:dyDescent="0.2">
      <c r="A2358" s="129" t="str">
        <f>IF(F2358&lt;&gt;"",1+MAX($A$1:A2357),"")</f>
        <v/>
      </c>
      <c r="B2358" s="126"/>
      <c r="C2358" s="120"/>
      <c r="D2358" s="120"/>
      <c r="E2358" s="290" t="s">
        <v>946</v>
      </c>
      <c r="F2358" s="123"/>
      <c r="G2358" s="184"/>
      <c r="H2358" s="125"/>
      <c r="I2358" s="126"/>
      <c r="J2358" s="37"/>
      <c r="K2358" s="159"/>
      <c r="L2358" s="160"/>
    </row>
    <row r="2359" spans="1:12" s="35" customFormat="1" ht="63" x14ac:dyDescent="0.2">
      <c r="A2359" s="129" t="str">
        <f>IF(F2359&lt;&gt;"",1+MAX($A$1:A2358),"")</f>
        <v/>
      </c>
      <c r="B2359" s="126"/>
      <c r="C2359" s="120"/>
      <c r="D2359" s="120"/>
      <c r="E2359" s="172" t="s">
        <v>947</v>
      </c>
      <c r="F2359" s="123"/>
      <c r="G2359" s="184"/>
      <c r="H2359" s="125"/>
      <c r="I2359" s="126"/>
      <c r="J2359" s="37"/>
      <c r="K2359" s="159"/>
      <c r="L2359" s="160"/>
    </row>
    <row r="2360" spans="1:12" s="35" customFormat="1" x14ac:dyDescent="0.2">
      <c r="A2360" s="129">
        <f ca="1">IF(F2360&lt;&gt;"",1+MAX($A$1:A2359),"")</f>
        <v>156</v>
      </c>
      <c r="B2360" s="126" t="s">
        <v>889</v>
      </c>
      <c r="C2360" s="126" t="s">
        <v>948</v>
      </c>
      <c r="D2360" s="120"/>
      <c r="E2360" s="122" t="s">
        <v>460</v>
      </c>
      <c r="F2360" s="123">
        <f>276.67*0.67*1.84/27</f>
        <v>12.632547259259262</v>
      </c>
      <c r="G2360" s="124">
        <v>0.1</v>
      </c>
      <c r="H2360" s="125">
        <f>F2360*(1+G2360)</f>
        <v>13.895801985185189</v>
      </c>
      <c r="I2360" s="126" t="s">
        <v>461</v>
      </c>
      <c r="J2360" s="37">
        <f>J$227</f>
        <v>0</v>
      </c>
      <c r="K2360" s="159">
        <f>J2360*H2360</f>
        <v>0</v>
      </c>
      <c r="L2360" s="160"/>
    </row>
    <row r="2361" spans="1:12" s="35" customFormat="1" x14ac:dyDescent="0.2">
      <c r="A2361" s="129">
        <f ca="1">IF(F2361&lt;&gt;"",1+MAX($A$1:A2360),"")</f>
        <v>157</v>
      </c>
      <c r="B2361" s="126" t="s">
        <v>889</v>
      </c>
      <c r="C2361" s="126" t="s">
        <v>948</v>
      </c>
      <c r="D2361" s="120"/>
      <c r="E2361" s="122" t="s">
        <v>949</v>
      </c>
      <c r="F2361" s="123">
        <f>2*276.67*0.668*1.2</f>
        <v>443.55734400000006</v>
      </c>
      <c r="G2361" s="124">
        <v>0.1</v>
      </c>
      <c r="H2361" s="125">
        <f t="shared" ref="H2361" si="436">F2361*(1+G2361)</f>
        <v>487.91307840000007</v>
      </c>
      <c r="I2361" s="126" t="s">
        <v>292</v>
      </c>
      <c r="J2361" s="37">
        <f>J$132</f>
        <v>0</v>
      </c>
      <c r="K2361" s="159">
        <f t="shared" ref="K2361" si="437">J2361*H2361</f>
        <v>0</v>
      </c>
      <c r="L2361" s="160"/>
    </row>
    <row r="2362" spans="1:12" s="35" customFormat="1" x14ac:dyDescent="0.2">
      <c r="A2362" s="129">
        <f ca="1">IF(F2362&lt;&gt;"",1+MAX($A$1:A2361),"")</f>
        <v>158</v>
      </c>
      <c r="B2362" s="126" t="s">
        <v>889</v>
      </c>
      <c r="C2362" s="126" t="s">
        <v>948</v>
      </c>
      <c r="D2362" s="120"/>
      <c r="E2362" s="122" t="s">
        <v>950</v>
      </c>
      <c r="F2362" s="123">
        <f>276.67*1.84*2</f>
        <v>1018.1456000000001</v>
      </c>
      <c r="G2362" s="124">
        <v>0.1</v>
      </c>
      <c r="H2362" s="125">
        <f>F2362*(1+G2362)</f>
        <v>1119.9601600000001</v>
      </c>
      <c r="I2362" s="126" t="s">
        <v>463</v>
      </c>
      <c r="J2362" s="37">
        <v>0</v>
      </c>
      <c r="K2362" s="159">
        <f>J2362*H2362</f>
        <v>0</v>
      </c>
      <c r="L2362" s="160"/>
    </row>
    <row r="2363" spans="1:12" s="35" customFormat="1" x14ac:dyDescent="0.2">
      <c r="A2363" s="129">
        <f ca="1">IF(F2363&lt;&gt;"",1+MAX($A$1:A2362),"")</f>
        <v>159</v>
      </c>
      <c r="B2363" s="126" t="s">
        <v>889</v>
      </c>
      <c r="C2363" s="126" t="s">
        <v>948</v>
      </c>
      <c r="D2363" s="120"/>
      <c r="E2363" s="122" t="s">
        <v>464</v>
      </c>
      <c r="F2363" s="123">
        <f>276.67*2*1/27</f>
        <v>20.494074074074074</v>
      </c>
      <c r="G2363" s="124">
        <v>0.1</v>
      </c>
      <c r="H2363" s="125">
        <f>F2363*(1+G2363)</f>
        <v>22.543481481481482</v>
      </c>
      <c r="I2363" s="126" t="s">
        <v>461</v>
      </c>
      <c r="J2363" s="37">
        <v>0</v>
      </c>
      <c r="K2363" s="159">
        <f>J2363*H2363</f>
        <v>0</v>
      </c>
      <c r="L2363" s="160"/>
    </row>
    <row r="2364" spans="1:12" s="35" customFormat="1" x14ac:dyDescent="0.2">
      <c r="A2364" s="129">
        <f ca="1">IF(F2364&lt;&gt;"",1+MAX($A$1:A2363),"")</f>
        <v>160</v>
      </c>
      <c r="B2364" s="126" t="s">
        <v>889</v>
      </c>
      <c r="C2364" s="126" t="s">
        <v>948</v>
      </c>
      <c r="D2364" s="120"/>
      <c r="E2364" s="122" t="s">
        <v>465</v>
      </c>
      <c r="F2364" s="123">
        <f>F2363-F2360</f>
        <v>7.8615268148148125</v>
      </c>
      <c r="G2364" s="124">
        <v>0.1</v>
      </c>
      <c r="H2364" s="125">
        <f>F2364*(1+G2364)</f>
        <v>8.6476794962962948</v>
      </c>
      <c r="I2364" s="126" t="s">
        <v>461</v>
      </c>
      <c r="J2364" s="37">
        <v>0</v>
      </c>
      <c r="K2364" s="159">
        <f>J2364*H2364</f>
        <v>0</v>
      </c>
      <c r="L2364" s="160"/>
    </row>
    <row r="2365" spans="1:12" s="35" customFormat="1" ht="31.5" x14ac:dyDescent="0.2">
      <c r="A2365" s="129">
        <f ca="1">IF(F2365&lt;&gt;"",1+MAX($A$1:A2364),"")</f>
        <v>161</v>
      </c>
      <c r="B2365" s="126" t="s">
        <v>889</v>
      </c>
      <c r="C2365" s="126" t="s">
        <v>948</v>
      </c>
      <c r="D2365" s="120"/>
      <c r="E2365" s="122" t="s">
        <v>951</v>
      </c>
      <c r="F2365" s="123">
        <f>1*4*0.668*1.2*2</f>
        <v>6.4127999999999998</v>
      </c>
      <c r="G2365" s="124">
        <v>0.1</v>
      </c>
      <c r="H2365" s="125">
        <f>F2365*(1+G2365)</f>
        <v>7.0540800000000008</v>
      </c>
      <c r="I2365" s="126" t="s">
        <v>292</v>
      </c>
      <c r="J2365" s="37">
        <f>J$132</f>
        <v>0</v>
      </c>
      <c r="K2365" s="159">
        <f>J2365*H2365</f>
        <v>0</v>
      </c>
      <c r="L2365" s="160"/>
    </row>
    <row r="2366" spans="1:12" s="35" customFormat="1" x14ac:dyDescent="0.2">
      <c r="A2366" s="129" t="str">
        <f>IF(F2366&lt;&gt;"",1+MAX($A$1:A2365),"")</f>
        <v/>
      </c>
      <c r="B2366" s="126"/>
      <c r="C2366" s="120"/>
      <c r="D2366" s="120"/>
      <c r="E2366" s="290" t="s">
        <v>952</v>
      </c>
      <c r="F2366" s="123"/>
      <c r="G2366" s="184"/>
      <c r="H2366" s="125"/>
      <c r="I2366" s="126"/>
      <c r="J2366" s="37"/>
      <c r="K2366" s="159"/>
      <c r="L2366" s="160"/>
    </row>
    <row r="2367" spans="1:12" s="35" customFormat="1" ht="63" x14ac:dyDescent="0.2">
      <c r="A2367" s="129" t="str">
        <f>IF(F2367&lt;&gt;"",1+MAX($A$1:A2366),"")</f>
        <v/>
      </c>
      <c r="B2367" s="126"/>
      <c r="C2367" s="120"/>
      <c r="D2367" s="120"/>
      <c r="E2367" s="172" t="s">
        <v>953</v>
      </c>
      <c r="F2367" s="123"/>
      <c r="G2367" s="184"/>
      <c r="H2367" s="125"/>
      <c r="I2367" s="126"/>
      <c r="J2367" s="37"/>
      <c r="K2367" s="159"/>
      <c r="L2367" s="160"/>
    </row>
    <row r="2368" spans="1:12" s="35" customFormat="1" ht="31.5" x14ac:dyDescent="0.2">
      <c r="A2368" s="129">
        <f ca="1">IF(F2368&lt;&gt;"",1+MAX($A$1:A2367),"")</f>
        <v>162</v>
      </c>
      <c r="B2368" s="126" t="s">
        <v>889</v>
      </c>
      <c r="C2368" s="126" t="s">
        <v>948</v>
      </c>
      <c r="D2368" s="120"/>
      <c r="E2368" s="122" t="s">
        <v>954</v>
      </c>
      <c r="F2368" s="123">
        <f>270.67*6</f>
        <v>1624.02</v>
      </c>
      <c r="G2368" s="124">
        <v>0.1</v>
      </c>
      <c r="H2368" s="125">
        <f t="shared" ref="H2368" si="438">F2368*(1+G2368)</f>
        <v>1786.422</v>
      </c>
      <c r="I2368" s="126" t="s">
        <v>18</v>
      </c>
      <c r="J2368" s="37">
        <f>J$196</f>
        <v>0</v>
      </c>
      <c r="K2368" s="159">
        <f t="shared" ref="K2368" si="439">J2368*H2368</f>
        <v>0</v>
      </c>
      <c r="L2368" s="160"/>
    </row>
    <row r="2369" spans="1:12" s="35" customFormat="1" x14ac:dyDescent="0.2">
      <c r="A2369" s="129">
        <f ca="1">IF(F2369&lt;&gt;"",1+MAX($A$1:A2368),"")</f>
        <v>163</v>
      </c>
      <c r="B2369" s="126" t="s">
        <v>889</v>
      </c>
      <c r="C2369" s="126" t="s">
        <v>948</v>
      </c>
      <c r="D2369" s="120"/>
      <c r="E2369" s="122" t="s">
        <v>955</v>
      </c>
      <c r="F2369" s="123">
        <f>(6/2+2)*270.67*0.668*1.2</f>
        <v>1084.8453600000003</v>
      </c>
      <c r="G2369" s="124">
        <v>0.1</v>
      </c>
      <c r="H2369" s="125">
        <f>F2369*(1+G2369)</f>
        <v>1193.3298960000004</v>
      </c>
      <c r="I2369" s="126" t="s">
        <v>292</v>
      </c>
      <c r="J2369" s="37">
        <f>J$132</f>
        <v>0</v>
      </c>
      <c r="K2369" s="159">
        <f>J2369*H2369</f>
        <v>0</v>
      </c>
      <c r="L2369" s="160"/>
    </row>
    <row r="2370" spans="1:12" s="35" customFormat="1" ht="63" x14ac:dyDescent="0.2">
      <c r="A2370" s="129">
        <f ca="1">IF(F2370&lt;&gt;"",1+MAX($A$1:A2369),"")</f>
        <v>164</v>
      </c>
      <c r="B2370" s="126" t="s">
        <v>889</v>
      </c>
      <c r="C2370" s="126" t="s">
        <v>948</v>
      </c>
      <c r="D2370" s="120"/>
      <c r="E2370" s="122" t="s">
        <v>956</v>
      </c>
      <c r="F2370" s="123">
        <f>(270.67/6+1)</f>
        <v>46.111666666666672</v>
      </c>
      <c r="G2370" s="124">
        <v>0</v>
      </c>
      <c r="H2370" s="125">
        <f t="shared" ref="H2370" si="440">F2370*(1+G2370)</f>
        <v>46.111666666666672</v>
      </c>
      <c r="I2370" s="126" t="s">
        <v>20</v>
      </c>
      <c r="J2370" s="37">
        <v>0</v>
      </c>
      <c r="K2370" s="159">
        <f t="shared" ref="K2370" si="441">J2370*H2370</f>
        <v>0</v>
      </c>
      <c r="L2370" s="160"/>
    </row>
    <row r="2371" spans="1:12" s="35" customFormat="1" x14ac:dyDescent="0.2">
      <c r="A2371" s="129" t="str">
        <f>IF(F2371&lt;&gt;"",1+MAX($A$1:A2370),"")</f>
        <v/>
      </c>
      <c r="B2371" s="126"/>
      <c r="C2371" s="120"/>
      <c r="D2371" s="120"/>
      <c r="E2371" s="122"/>
      <c r="F2371" s="123"/>
      <c r="G2371" s="184"/>
      <c r="H2371" s="125"/>
      <c r="I2371" s="126"/>
      <c r="J2371" s="37"/>
      <c r="K2371" s="159"/>
      <c r="L2371" s="160"/>
    </row>
    <row r="2372" spans="1:12" s="35" customFormat="1" ht="63" x14ac:dyDescent="0.2">
      <c r="A2372" s="129" t="str">
        <f>IF(F2372&lt;&gt;"",1+MAX($A$1:A2371),"")</f>
        <v/>
      </c>
      <c r="B2372" s="126"/>
      <c r="C2372" s="120"/>
      <c r="D2372" s="120"/>
      <c r="E2372" s="172" t="s">
        <v>957</v>
      </c>
      <c r="F2372" s="123"/>
      <c r="G2372" s="184"/>
      <c r="H2372" s="125"/>
      <c r="I2372" s="126"/>
      <c r="J2372" s="37"/>
      <c r="K2372" s="159"/>
      <c r="L2372" s="160"/>
    </row>
    <row r="2373" spans="1:12" s="35" customFormat="1" ht="31.5" x14ac:dyDescent="0.2">
      <c r="A2373" s="129">
        <f ca="1">IF(F2373&lt;&gt;"",1+MAX($A$1:A2372),"")</f>
        <v>165</v>
      </c>
      <c r="B2373" s="126" t="s">
        <v>889</v>
      </c>
      <c r="C2373" s="126" t="s">
        <v>948</v>
      </c>
      <c r="D2373" s="120"/>
      <c r="E2373" s="122" t="s">
        <v>954</v>
      </c>
      <c r="F2373" s="123">
        <f>6*4</f>
        <v>24</v>
      </c>
      <c r="G2373" s="124">
        <v>0.1</v>
      </c>
      <c r="H2373" s="125">
        <f t="shared" ref="H2373" si="442">F2373*(1+G2373)</f>
        <v>26.400000000000002</v>
      </c>
      <c r="I2373" s="126" t="s">
        <v>18</v>
      </c>
      <c r="J2373" s="37">
        <f>J$196</f>
        <v>0</v>
      </c>
      <c r="K2373" s="159">
        <f t="shared" ref="K2373" si="443">J2373*H2373</f>
        <v>0</v>
      </c>
      <c r="L2373" s="160"/>
    </row>
    <row r="2374" spans="1:12" s="35" customFormat="1" x14ac:dyDescent="0.2">
      <c r="A2374" s="129">
        <f ca="1">IF(F2374&lt;&gt;"",1+MAX($A$1:A2373),"")</f>
        <v>166</v>
      </c>
      <c r="B2374" s="126" t="s">
        <v>889</v>
      </c>
      <c r="C2374" s="126" t="s">
        <v>948</v>
      </c>
      <c r="D2374" s="120"/>
      <c r="E2374" s="122" t="s">
        <v>955</v>
      </c>
      <c r="F2374" s="123">
        <f>(4/2+2)*6*0.668*1.2</f>
        <v>19.238399999999999</v>
      </c>
      <c r="G2374" s="124">
        <v>0.1</v>
      </c>
      <c r="H2374" s="125">
        <f>F2374*(1+G2374)</f>
        <v>21.162240000000001</v>
      </c>
      <c r="I2374" s="126" t="s">
        <v>292</v>
      </c>
      <c r="J2374" s="37">
        <f>J$132</f>
        <v>0</v>
      </c>
      <c r="K2374" s="159">
        <f>J2374*H2374</f>
        <v>0</v>
      </c>
      <c r="L2374" s="160"/>
    </row>
    <row r="2375" spans="1:12" s="35" customFormat="1" ht="63" x14ac:dyDescent="0.2">
      <c r="A2375" s="129">
        <f ca="1">IF(F2375&lt;&gt;"",1+MAX($A$1:A2374),"")</f>
        <v>167</v>
      </c>
      <c r="B2375" s="126" t="s">
        <v>889</v>
      </c>
      <c r="C2375" s="126" t="s">
        <v>948</v>
      </c>
      <c r="D2375" s="120"/>
      <c r="E2375" s="122" t="s">
        <v>958</v>
      </c>
      <c r="F2375" s="123">
        <f>(6/6+1)</f>
        <v>2</v>
      </c>
      <c r="G2375" s="124">
        <v>0</v>
      </c>
      <c r="H2375" s="125">
        <f t="shared" ref="H2375" si="444">F2375*(1+G2375)</f>
        <v>2</v>
      </c>
      <c r="I2375" s="126" t="s">
        <v>20</v>
      </c>
      <c r="J2375" s="37">
        <f>J$281</f>
        <v>0</v>
      </c>
      <c r="K2375" s="159">
        <f t="shared" ref="K2375" si="445">J2375*H2375</f>
        <v>0</v>
      </c>
      <c r="L2375" s="160"/>
    </row>
    <row r="2376" spans="1:12" s="35" customFormat="1" x14ac:dyDescent="0.2">
      <c r="A2376" s="129" t="str">
        <f>IF(F2376&lt;&gt;"",1+MAX($A$1:A2375),"")</f>
        <v/>
      </c>
      <c r="B2376" s="126"/>
      <c r="C2376" s="120"/>
      <c r="D2376" s="120"/>
      <c r="E2376" s="122"/>
      <c r="F2376" s="123"/>
      <c r="G2376" s="184"/>
      <c r="H2376" s="125"/>
      <c r="I2376" s="126"/>
      <c r="J2376" s="37"/>
      <c r="K2376" s="159"/>
      <c r="L2376" s="160"/>
    </row>
    <row r="2377" spans="1:12" s="35" customFormat="1" x14ac:dyDescent="0.2">
      <c r="A2377" s="129" t="str">
        <f>IF(F2377&lt;&gt;"",1+MAX($A$1:A2376),"")</f>
        <v/>
      </c>
      <c r="B2377" s="126"/>
      <c r="C2377" s="120"/>
      <c r="D2377" s="120"/>
      <c r="E2377" s="290" t="s">
        <v>952</v>
      </c>
      <c r="F2377" s="123"/>
      <c r="G2377" s="184"/>
      <c r="H2377" s="125"/>
      <c r="I2377" s="126"/>
      <c r="J2377" s="37"/>
      <c r="K2377" s="159"/>
      <c r="L2377" s="160"/>
    </row>
    <row r="2378" spans="1:12" s="35" customFormat="1" ht="63" x14ac:dyDescent="0.2">
      <c r="A2378" s="129" t="str">
        <f>IF(F2378&lt;&gt;"",1+MAX($A$1:A2377),"")</f>
        <v/>
      </c>
      <c r="B2378" s="126"/>
      <c r="C2378" s="120"/>
      <c r="D2378" s="120"/>
      <c r="E2378" s="172" t="s">
        <v>959</v>
      </c>
      <c r="F2378" s="123"/>
      <c r="G2378" s="184"/>
      <c r="H2378" s="125"/>
      <c r="I2378" s="126"/>
      <c r="J2378" s="37"/>
      <c r="K2378" s="159"/>
      <c r="L2378" s="160"/>
    </row>
    <row r="2379" spans="1:12" s="35" customFormat="1" x14ac:dyDescent="0.2">
      <c r="A2379" s="129">
        <f ca="1">IF(F2379&lt;&gt;"",1+MAX($A$1:A2378),"")</f>
        <v>168</v>
      </c>
      <c r="B2379" s="126" t="s">
        <v>889</v>
      </c>
      <c r="C2379" s="126" t="s">
        <v>893</v>
      </c>
      <c r="D2379" s="120"/>
      <c r="E2379" s="122" t="s">
        <v>960</v>
      </c>
      <c r="F2379" s="123">
        <f>97*1.75*1/27</f>
        <v>6.2870370370370372</v>
      </c>
      <c r="G2379" s="124">
        <v>0.1</v>
      </c>
      <c r="H2379" s="125">
        <f t="shared" ref="H2379" si="446">F2379*(1+G2379)</f>
        <v>6.9157407407407412</v>
      </c>
      <c r="I2379" s="126" t="s">
        <v>461</v>
      </c>
      <c r="J2379" s="37">
        <f>J$227</f>
        <v>0</v>
      </c>
      <c r="K2379" s="159">
        <f t="shared" ref="K2379" si="447">J2379*H2379</f>
        <v>0</v>
      </c>
      <c r="L2379" s="160"/>
    </row>
    <row r="2380" spans="1:12" s="35" customFormat="1" x14ac:dyDescent="0.2">
      <c r="A2380" s="129">
        <f ca="1">IF(F2380&lt;&gt;"",1+MAX($A$1:A2379),"")</f>
        <v>169</v>
      </c>
      <c r="B2380" s="126" t="s">
        <v>889</v>
      </c>
      <c r="C2380" s="126" t="s">
        <v>893</v>
      </c>
      <c r="D2380" s="120"/>
      <c r="E2380" s="122" t="s">
        <v>950</v>
      </c>
      <c r="F2380" s="123">
        <f>97*1</f>
        <v>97</v>
      </c>
      <c r="G2380" s="124">
        <v>0.1</v>
      </c>
      <c r="H2380" s="125">
        <f>F2380*(1+G2380)</f>
        <v>106.7</v>
      </c>
      <c r="I2380" s="126" t="s">
        <v>463</v>
      </c>
      <c r="J2380" s="37">
        <f>J$273</f>
        <v>0</v>
      </c>
      <c r="K2380" s="159">
        <f>J2380*H2380</f>
        <v>0</v>
      </c>
      <c r="L2380" s="160"/>
    </row>
    <row r="2381" spans="1:12" s="35" customFormat="1" x14ac:dyDescent="0.2">
      <c r="A2381" s="129">
        <f ca="1">IF(F2381&lt;&gt;"",1+MAX($A$1:A2380),"")</f>
        <v>170</v>
      </c>
      <c r="B2381" s="126" t="s">
        <v>889</v>
      </c>
      <c r="C2381" s="126" t="s">
        <v>893</v>
      </c>
      <c r="D2381" s="120"/>
      <c r="E2381" s="122" t="s">
        <v>961</v>
      </c>
      <c r="F2381" s="123">
        <f>97*6</f>
        <v>582</v>
      </c>
      <c r="G2381" s="124">
        <v>0.1</v>
      </c>
      <c r="H2381" s="125">
        <f t="shared" ref="H2381" si="448">F2381*(1+G2381)</f>
        <v>640.20000000000005</v>
      </c>
      <c r="I2381" s="126" t="s">
        <v>18</v>
      </c>
      <c r="J2381" s="37">
        <f>J$196</f>
        <v>0</v>
      </c>
      <c r="K2381" s="159">
        <f t="shared" ref="K2381" si="449">J2381*H2381</f>
        <v>0</v>
      </c>
      <c r="L2381" s="160"/>
    </row>
    <row r="2382" spans="1:12" s="35" customFormat="1" x14ac:dyDescent="0.2">
      <c r="A2382" s="129">
        <f ca="1">IF(F2382&lt;&gt;"",1+MAX($A$1:A2381),"")</f>
        <v>171</v>
      </c>
      <c r="B2382" s="126" t="s">
        <v>889</v>
      </c>
      <c r="C2382" s="126" t="s">
        <v>893</v>
      </c>
      <c r="D2382" s="120"/>
      <c r="E2382" s="122" t="s">
        <v>894</v>
      </c>
      <c r="F2382" s="123">
        <f>1*97*0.668*1.2</f>
        <v>77.755200000000002</v>
      </c>
      <c r="G2382" s="124">
        <v>0.1</v>
      </c>
      <c r="H2382" s="125">
        <f>F2382*(1+G2382)</f>
        <v>85.530720000000002</v>
      </c>
      <c r="I2382" s="126" t="s">
        <v>292</v>
      </c>
      <c r="J2382" s="37">
        <f t="shared" ref="J2382:J2384" si="450">J$132</f>
        <v>0</v>
      </c>
      <c r="K2382" s="159">
        <f>J2382*H2382</f>
        <v>0</v>
      </c>
      <c r="L2382" s="160"/>
    </row>
    <row r="2383" spans="1:12" s="35" customFormat="1" x14ac:dyDescent="0.2">
      <c r="A2383" s="129">
        <f ca="1">IF(F2383&lt;&gt;"",1+MAX($A$1:A2382),"")</f>
        <v>172</v>
      </c>
      <c r="B2383" s="126" t="s">
        <v>889</v>
      </c>
      <c r="C2383" s="126" t="s">
        <v>893</v>
      </c>
      <c r="D2383" s="120"/>
      <c r="E2383" s="122" t="s">
        <v>895</v>
      </c>
      <c r="F2383" s="123">
        <f>(6/2+1)*97*0.668*1.2</f>
        <v>311.02080000000001</v>
      </c>
      <c r="G2383" s="124">
        <v>0.1</v>
      </c>
      <c r="H2383" s="125">
        <f>F2383*(1+G2383)</f>
        <v>342.12288000000001</v>
      </c>
      <c r="I2383" s="126" t="s">
        <v>292</v>
      </c>
      <c r="J2383" s="37">
        <f t="shared" si="450"/>
        <v>0</v>
      </c>
      <c r="K2383" s="159">
        <f>J2383*H2383</f>
        <v>0</v>
      </c>
      <c r="L2383" s="160"/>
    </row>
    <row r="2384" spans="1:12" s="35" customFormat="1" x14ac:dyDescent="0.2">
      <c r="A2384" s="129">
        <f ca="1">IF(F2384&lt;&gt;"",1+MAX($A$1:A2383),"")</f>
        <v>173</v>
      </c>
      <c r="B2384" s="126" t="s">
        <v>889</v>
      </c>
      <c r="C2384" s="126" t="s">
        <v>893</v>
      </c>
      <c r="D2384" s="120"/>
      <c r="E2384" s="122" t="s">
        <v>962</v>
      </c>
      <c r="F2384" s="123">
        <f>(97/1.34+1)*8*0.668*1.2</f>
        <v>470.62294925373135</v>
      </c>
      <c r="G2384" s="124">
        <v>0.1</v>
      </c>
      <c r="H2384" s="125">
        <f>F2384*(1+G2384)</f>
        <v>517.68524417910453</v>
      </c>
      <c r="I2384" s="126" t="s">
        <v>292</v>
      </c>
      <c r="J2384" s="37">
        <f t="shared" si="450"/>
        <v>0</v>
      </c>
      <c r="K2384" s="159">
        <f>J2384*H2384</f>
        <v>0</v>
      </c>
      <c r="L2384" s="160"/>
    </row>
    <row r="2385" spans="1:12" s="21" customFormat="1" x14ac:dyDescent="0.2">
      <c r="A2385" s="129" t="str">
        <f>IF(F2385&lt;&gt;"",1+MAX($A$1:A2384),"")</f>
        <v/>
      </c>
      <c r="B2385" s="126"/>
      <c r="C2385" s="120"/>
      <c r="D2385" s="189"/>
      <c r="E2385" s="296"/>
      <c r="F2385" s="125"/>
      <c r="G2385" s="184"/>
      <c r="H2385" s="125"/>
      <c r="I2385" s="126"/>
      <c r="J2385" s="127"/>
      <c r="K2385" s="159"/>
      <c r="L2385" s="212"/>
    </row>
    <row r="2386" spans="1:12" s="21" customFormat="1" x14ac:dyDescent="0.2">
      <c r="A2386" s="129" t="str">
        <f>IF(F2386&lt;&gt;"",1+MAX($A$1:A2385),"")</f>
        <v/>
      </c>
      <c r="B2386" s="120"/>
      <c r="C2386" s="120"/>
      <c r="D2386" s="189"/>
      <c r="E2386" s="190" t="s">
        <v>963</v>
      </c>
      <c r="F2386" s="123"/>
      <c r="G2386" s="184"/>
      <c r="H2386" s="125"/>
      <c r="I2386" s="126"/>
      <c r="J2386" s="127"/>
      <c r="K2386" s="105"/>
      <c r="L2386" s="11">
        <f>SUM(K2357:K2385)</f>
        <v>0</v>
      </c>
    </row>
    <row r="2387" spans="1:12" s="35" customFormat="1" x14ac:dyDescent="0.2">
      <c r="A2387" s="129" t="str">
        <f>IF(F2387&lt;&gt;"",1+MAX($A$1:A2386),"")</f>
        <v/>
      </c>
      <c r="B2387" s="126"/>
      <c r="C2387" s="120"/>
      <c r="D2387" s="120"/>
      <c r="E2387" s="122"/>
      <c r="F2387" s="123"/>
      <c r="G2387" s="184"/>
      <c r="H2387" s="125"/>
      <c r="I2387" s="126"/>
      <c r="J2387" s="37"/>
      <c r="K2387" s="159"/>
      <c r="L2387" s="160"/>
    </row>
    <row r="2388" spans="1:12" s="21" customFormat="1" x14ac:dyDescent="0.2">
      <c r="A2388" s="129" t="str">
        <f>IF(F2388&lt;&gt;"",1+MAX($A$1:A2387),"")</f>
        <v/>
      </c>
      <c r="B2388" s="126"/>
      <c r="C2388" s="120"/>
      <c r="D2388" s="189"/>
      <c r="E2388" s="172" t="s">
        <v>964</v>
      </c>
      <c r="F2388" s="123"/>
      <c r="G2388" s="184"/>
      <c r="H2388" s="125"/>
      <c r="I2388" s="126"/>
      <c r="J2388" s="23"/>
      <c r="K2388" s="207"/>
      <c r="L2388" s="160"/>
    </row>
    <row r="2389" spans="1:12" s="35" customFormat="1" x14ac:dyDescent="0.2">
      <c r="A2389" s="129" t="str">
        <f>IF(F2389&lt;&gt;"",1+MAX($A$1:A2388),"")</f>
        <v/>
      </c>
      <c r="B2389" s="126"/>
      <c r="C2389" s="120"/>
      <c r="D2389" s="120"/>
      <c r="E2389" s="290" t="s">
        <v>965</v>
      </c>
      <c r="F2389" s="123"/>
      <c r="G2389" s="124"/>
      <c r="H2389" s="125"/>
      <c r="I2389" s="126"/>
      <c r="J2389" s="23"/>
      <c r="K2389" s="159"/>
      <c r="L2389" s="160"/>
    </row>
    <row r="2390" spans="1:12" s="35" customFormat="1" x14ac:dyDescent="0.2">
      <c r="A2390" s="129">
        <f ca="1">IF(F2390&lt;&gt;"",1+MAX($A$1:A2389),"")</f>
        <v>174</v>
      </c>
      <c r="B2390" s="126" t="s">
        <v>966</v>
      </c>
      <c r="C2390" s="120" t="s">
        <v>967</v>
      </c>
      <c r="D2390" s="189"/>
      <c r="E2390" s="172" t="s">
        <v>968</v>
      </c>
      <c r="F2390" s="123">
        <v>262.05</v>
      </c>
      <c r="G2390" s="124">
        <v>0.1</v>
      </c>
      <c r="H2390" s="125">
        <f t="shared" ref="H2390:H2394" si="451">F2390*(1+G2390)</f>
        <v>288.25500000000005</v>
      </c>
      <c r="I2390" s="126" t="s">
        <v>15</v>
      </c>
      <c r="J2390" s="37">
        <v>0</v>
      </c>
      <c r="K2390" s="159">
        <f t="shared" ref="K2390:K2394" si="452">J2390*H2390</f>
        <v>0</v>
      </c>
      <c r="L2390" s="160"/>
    </row>
    <row r="2391" spans="1:12" s="35" customFormat="1" x14ac:dyDescent="0.2">
      <c r="A2391" s="129">
        <f ca="1">IF(F2391&lt;&gt;"",1+MAX($A$1:A2390),"")</f>
        <v>175</v>
      </c>
      <c r="B2391" s="126" t="s">
        <v>966</v>
      </c>
      <c r="C2391" s="120" t="s">
        <v>967</v>
      </c>
      <c r="D2391" s="189"/>
      <c r="E2391" s="122" t="s">
        <v>464</v>
      </c>
      <c r="F2391" s="123">
        <f>2.34*4*F2390/27</f>
        <v>90.843999999999994</v>
      </c>
      <c r="G2391" s="124">
        <v>0.1</v>
      </c>
      <c r="H2391" s="125">
        <f t="shared" si="451"/>
        <v>99.928399999999996</v>
      </c>
      <c r="I2391" s="126" t="s">
        <v>461</v>
      </c>
      <c r="J2391" s="37">
        <f>J$274</f>
        <v>0</v>
      </c>
      <c r="K2391" s="159">
        <f t="shared" si="452"/>
        <v>0</v>
      </c>
      <c r="L2391" s="160"/>
    </row>
    <row r="2392" spans="1:12" s="35" customFormat="1" x14ac:dyDescent="0.2">
      <c r="A2392" s="129">
        <f ca="1">IF(F2392&lt;&gt;"",1+MAX($A$1:A2391),"")</f>
        <v>176</v>
      </c>
      <c r="B2392" s="126" t="s">
        <v>966</v>
      </c>
      <c r="C2392" s="120" t="s">
        <v>967</v>
      </c>
      <c r="D2392" s="189"/>
      <c r="E2392" s="122" t="s">
        <v>969</v>
      </c>
      <c r="F2392" s="123">
        <f>0.34*2.34*F2390/27</f>
        <v>7.7217399999999996</v>
      </c>
      <c r="G2392" s="124">
        <v>0.1</v>
      </c>
      <c r="H2392" s="125">
        <f t="shared" si="451"/>
        <v>8.4939140000000002</v>
      </c>
      <c r="I2392" s="126" t="s">
        <v>461</v>
      </c>
      <c r="J2392" s="37">
        <f t="shared" ref="J2392:J2393" si="453">J$124</f>
        <v>0</v>
      </c>
      <c r="K2392" s="159">
        <f t="shared" si="452"/>
        <v>0</v>
      </c>
      <c r="L2392" s="160"/>
    </row>
    <row r="2393" spans="1:12" s="35" customFormat="1" x14ac:dyDescent="0.2">
      <c r="A2393" s="129">
        <f ca="1">IF(F2393&lt;&gt;"",1+MAX($A$1:A2392),"")</f>
        <v>177</v>
      </c>
      <c r="B2393" s="126" t="s">
        <v>966</v>
      </c>
      <c r="C2393" s="120" t="s">
        <v>967</v>
      </c>
      <c r="D2393" s="189"/>
      <c r="E2393" s="122" t="s">
        <v>970</v>
      </c>
      <c r="F2393" s="123">
        <f>2.34*1.5*F2390/27-3.14*0.84*0.84*0.25*F2390/27</f>
        <v>28.690631599999996</v>
      </c>
      <c r="G2393" s="124">
        <v>0.1</v>
      </c>
      <c r="H2393" s="125">
        <f t="shared" si="451"/>
        <v>31.559694759999999</v>
      </c>
      <c r="I2393" s="126" t="s">
        <v>461</v>
      </c>
      <c r="J2393" s="37">
        <f t="shared" si="453"/>
        <v>0</v>
      </c>
      <c r="K2393" s="159">
        <f t="shared" si="452"/>
        <v>0</v>
      </c>
      <c r="L2393" s="160"/>
    </row>
    <row r="2394" spans="1:12" s="35" customFormat="1" x14ac:dyDescent="0.2">
      <c r="A2394" s="129">
        <f ca="1">IF(F2394&lt;&gt;"",1+MAX($A$1:A2393),"")</f>
        <v>178</v>
      </c>
      <c r="B2394" s="126" t="s">
        <v>966</v>
      </c>
      <c r="C2394" s="120" t="s">
        <v>967</v>
      </c>
      <c r="D2394" s="189"/>
      <c r="E2394" s="122" t="s">
        <v>465</v>
      </c>
      <c r="F2394" s="123">
        <f>F2391-F2392-F2393-3.14*0.84*0.84*0.25*F2390/27</f>
        <v>49.055759999999999</v>
      </c>
      <c r="G2394" s="124">
        <v>0.1</v>
      </c>
      <c r="H2394" s="125">
        <f t="shared" si="451"/>
        <v>53.961336000000003</v>
      </c>
      <c r="I2394" s="126" t="s">
        <v>461</v>
      </c>
      <c r="J2394" s="37">
        <f>J$275</f>
        <v>0</v>
      </c>
      <c r="K2394" s="159">
        <f t="shared" si="452"/>
        <v>0</v>
      </c>
      <c r="L2394" s="160"/>
    </row>
    <row r="2395" spans="1:12" s="21" customFormat="1" x14ac:dyDescent="0.2">
      <c r="A2395" s="129" t="str">
        <f>IF(F2395&lt;&gt;"",1+MAX($A$1:A2394),"")</f>
        <v/>
      </c>
      <c r="B2395" s="126"/>
      <c r="C2395" s="120"/>
      <c r="D2395" s="189"/>
      <c r="E2395" s="172"/>
      <c r="F2395" s="123"/>
      <c r="G2395" s="184"/>
      <c r="H2395" s="125"/>
      <c r="I2395" s="126"/>
      <c r="J2395" s="23"/>
      <c r="K2395" s="207"/>
      <c r="L2395" s="160"/>
    </row>
    <row r="2396" spans="1:12" s="35" customFormat="1" x14ac:dyDescent="0.2">
      <c r="A2396" s="129">
        <f ca="1">IF(F2396&lt;&gt;"",1+MAX($A$1:A2395),"")</f>
        <v>179</v>
      </c>
      <c r="B2396" s="126" t="s">
        <v>966</v>
      </c>
      <c r="C2396" s="120" t="s">
        <v>967</v>
      </c>
      <c r="D2396" s="189"/>
      <c r="E2396" s="172" t="s">
        <v>971</v>
      </c>
      <c r="F2396" s="123">
        <v>120.04</v>
      </c>
      <c r="G2396" s="124">
        <v>0.1</v>
      </c>
      <c r="H2396" s="125">
        <f t="shared" ref="H2396:H2400" si="454">F2396*(1+G2396)</f>
        <v>132.04400000000001</v>
      </c>
      <c r="I2396" s="126" t="s">
        <v>15</v>
      </c>
      <c r="J2396" s="37">
        <v>0</v>
      </c>
      <c r="K2396" s="159">
        <f t="shared" ref="K2396:K2400" si="455">J2396*H2396</f>
        <v>0</v>
      </c>
      <c r="L2396" s="160"/>
    </row>
    <row r="2397" spans="1:12" s="35" customFormat="1" x14ac:dyDescent="0.2">
      <c r="A2397" s="129">
        <f ca="1">IF(F2397&lt;&gt;"",1+MAX($A$1:A2396),"")</f>
        <v>180</v>
      </c>
      <c r="B2397" s="126" t="s">
        <v>966</v>
      </c>
      <c r="C2397" s="120" t="s">
        <v>967</v>
      </c>
      <c r="D2397" s="189"/>
      <c r="E2397" s="122" t="s">
        <v>464</v>
      </c>
      <c r="F2397" s="123">
        <f>2.17*4*F2396/27</f>
        <v>38.590637037037041</v>
      </c>
      <c r="G2397" s="124">
        <v>0.1</v>
      </c>
      <c r="H2397" s="125">
        <f t="shared" si="454"/>
        <v>42.449700740740745</v>
      </c>
      <c r="I2397" s="126" t="s">
        <v>461</v>
      </c>
      <c r="J2397" s="37">
        <f>J$274</f>
        <v>0</v>
      </c>
      <c r="K2397" s="159">
        <f t="shared" si="455"/>
        <v>0</v>
      </c>
      <c r="L2397" s="160"/>
    </row>
    <row r="2398" spans="1:12" s="35" customFormat="1" x14ac:dyDescent="0.2">
      <c r="A2398" s="129">
        <f ca="1">IF(F2398&lt;&gt;"",1+MAX($A$1:A2397),"")</f>
        <v>181</v>
      </c>
      <c r="B2398" s="126" t="s">
        <v>966</v>
      </c>
      <c r="C2398" s="120" t="s">
        <v>967</v>
      </c>
      <c r="D2398" s="189"/>
      <c r="E2398" s="122" t="s">
        <v>969</v>
      </c>
      <c r="F2398" s="123">
        <f>0.34*2.17*F2396/27</f>
        <v>3.2802041481481488</v>
      </c>
      <c r="G2398" s="124">
        <v>0.1</v>
      </c>
      <c r="H2398" s="125">
        <f t="shared" si="454"/>
        <v>3.6082245629629641</v>
      </c>
      <c r="I2398" s="126" t="s">
        <v>461</v>
      </c>
      <c r="J2398" s="37">
        <f t="shared" ref="J2398:J2399" si="456">J$124</f>
        <v>0</v>
      </c>
      <c r="K2398" s="159">
        <f t="shared" si="455"/>
        <v>0</v>
      </c>
      <c r="L2398" s="160"/>
    </row>
    <row r="2399" spans="1:12" s="35" customFormat="1" x14ac:dyDescent="0.2">
      <c r="A2399" s="129">
        <f ca="1">IF(F2399&lt;&gt;"",1+MAX($A$1:A2398),"")</f>
        <v>182</v>
      </c>
      <c r="B2399" s="126" t="s">
        <v>966</v>
      </c>
      <c r="C2399" s="120" t="s">
        <v>967</v>
      </c>
      <c r="D2399" s="189"/>
      <c r="E2399" s="122" t="s">
        <v>970</v>
      </c>
      <c r="F2399" s="123">
        <f>2.17*1.25*F2396/27-3.14*0.67*0.67*0.25*F2396/27</f>
        <v>10.492889797777778</v>
      </c>
      <c r="G2399" s="124">
        <v>0.1</v>
      </c>
      <c r="H2399" s="125">
        <f t="shared" si="454"/>
        <v>11.542178777555558</v>
      </c>
      <c r="I2399" s="126" t="s">
        <v>461</v>
      </c>
      <c r="J2399" s="37">
        <f t="shared" si="456"/>
        <v>0</v>
      </c>
      <c r="K2399" s="159">
        <f t="shared" si="455"/>
        <v>0</v>
      </c>
      <c r="L2399" s="160"/>
    </row>
    <row r="2400" spans="1:12" s="35" customFormat="1" x14ac:dyDescent="0.2">
      <c r="A2400" s="129">
        <f ca="1">IF(F2400&lt;&gt;"",1+MAX($A$1:A2399),"")</f>
        <v>183</v>
      </c>
      <c r="B2400" s="126" t="s">
        <v>966</v>
      </c>
      <c r="C2400" s="120" t="s">
        <v>967</v>
      </c>
      <c r="D2400" s="189"/>
      <c r="E2400" s="122" t="s">
        <v>465</v>
      </c>
      <c r="F2400" s="123">
        <f>F2397-F2398-F2399-3.14*0.67*0.67*0.25*F2396/27</f>
        <v>23.250858814814816</v>
      </c>
      <c r="G2400" s="124">
        <v>0.1</v>
      </c>
      <c r="H2400" s="125">
        <f t="shared" si="454"/>
        <v>25.5759446962963</v>
      </c>
      <c r="I2400" s="126" t="s">
        <v>461</v>
      </c>
      <c r="J2400" s="37">
        <f>J$275</f>
        <v>0</v>
      </c>
      <c r="K2400" s="159">
        <f t="shared" si="455"/>
        <v>0</v>
      </c>
      <c r="L2400" s="160"/>
    </row>
    <row r="2401" spans="1:12" s="21" customFormat="1" x14ac:dyDescent="0.2">
      <c r="A2401" s="129" t="str">
        <f>IF(F2401&lt;&gt;"",1+MAX($A$1:A2400),"")</f>
        <v/>
      </c>
      <c r="B2401" s="126"/>
      <c r="C2401" s="120"/>
      <c r="D2401" s="189"/>
      <c r="E2401" s="172"/>
      <c r="F2401" s="123"/>
      <c r="G2401" s="184"/>
      <c r="H2401" s="125"/>
      <c r="I2401" s="126"/>
      <c r="J2401" s="23"/>
      <c r="K2401" s="207"/>
      <c r="L2401" s="160"/>
    </row>
    <row r="2402" spans="1:12" s="35" customFormat="1" x14ac:dyDescent="0.2">
      <c r="A2402" s="129">
        <f ca="1">IF(F2402&lt;&gt;"",1+MAX($A$1:A2401),"")</f>
        <v>184</v>
      </c>
      <c r="B2402" s="126" t="s">
        <v>966</v>
      </c>
      <c r="C2402" s="120" t="s">
        <v>967</v>
      </c>
      <c r="D2402" s="189"/>
      <c r="E2402" s="172" t="s">
        <v>972</v>
      </c>
      <c r="F2402" s="123">
        <v>236.31</v>
      </c>
      <c r="G2402" s="124">
        <v>0.1</v>
      </c>
      <c r="H2402" s="125">
        <f t="shared" ref="H2402:H2406" si="457">F2402*(1+G2402)</f>
        <v>259.94100000000003</v>
      </c>
      <c r="I2402" s="126" t="s">
        <v>15</v>
      </c>
      <c r="J2402" s="37">
        <v>0</v>
      </c>
      <c r="K2402" s="159">
        <f t="shared" ref="K2402:K2406" si="458">J2402*H2402</f>
        <v>0</v>
      </c>
      <c r="L2402" s="160"/>
    </row>
    <row r="2403" spans="1:12" s="35" customFormat="1" x14ac:dyDescent="0.2">
      <c r="A2403" s="129">
        <f ca="1">IF(F2403&lt;&gt;"",1+MAX($A$1:A2402),"")</f>
        <v>185</v>
      </c>
      <c r="B2403" s="126" t="s">
        <v>966</v>
      </c>
      <c r="C2403" s="120" t="s">
        <v>967</v>
      </c>
      <c r="D2403" s="189"/>
      <c r="E2403" s="122" t="s">
        <v>464</v>
      </c>
      <c r="F2403" s="123">
        <f>2*4*F2402/27</f>
        <v>70.017777777777781</v>
      </c>
      <c r="G2403" s="124">
        <v>0.1</v>
      </c>
      <c r="H2403" s="125">
        <f t="shared" si="457"/>
        <v>77.01955555555557</v>
      </c>
      <c r="I2403" s="126" t="s">
        <v>461</v>
      </c>
      <c r="J2403" s="37">
        <f>J$274</f>
        <v>0</v>
      </c>
      <c r="K2403" s="159">
        <f t="shared" si="458"/>
        <v>0</v>
      </c>
      <c r="L2403" s="160"/>
    </row>
    <row r="2404" spans="1:12" s="35" customFormat="1" x14ac:dyDescent="0.2">
      <c r="A2404" s="129">
        <f ca="1">IF(F2404&lt;&gt;"",1+MAX($A$1:A2403),"")</f>
        <v>186</v>
      </c>
      <c r="B2404" s="126" t="s">
        <v>966</v>
      </c>
      <c r="C2404" s="120" t="s">
        <v>967</v>
      </c>
      <c r="D2404" s="189"/>
      <c r="E2404" s="122" t="s">
        <v>969</v>
      </c>
      <c r="F2404" s="123">
        <f>0.34*2*F2402/27</f>
        <v>5.9515111111111123</v>
      </c>
      <c r="G2404" s="124">
        <v>0.1</v>
      </c>
      <c r="H2404" s="125">
        <f t="shared" si="457"/>
        <v>6.5466622222222242</v>
      </c>
      <c r="I2404" s="126" t="s">
        <v>461</v>
      </c>
      <c r="J2404" s="37">
        <f t="shared" ref="J2404:J2405" si="459">J$124</f>
        <v>0</v>
      </c>
      <c r="K2404" s="159">
        <f t="shared" si="458"/>
        <v>0</v>
      </c>
      <c r="L2404" s="160"/>
    </row>
    <row r="2405" spans="1:12" s="35" customFormat="1" x14ac:dyDescent="0.2">
      <c r="A2405" s="129">
        <f ca="1">IF(F2405&lt;&gt;"",1+MAX($A$1:A2404),"")</f>
        <v>187</v>
      </c>
      <c r="B2405" s="126" t="s">
        <v>966</v>
      </c>
      <c r="C2405" s="120" t="s">
        <v>967</v>
      </c>
      <c r="D2405" s="189"/>
      <c r="E2405" s="122" t="s">
        <v>970</v>
      </c>
      <c r="F2405" s="123">
        <f>2*1*F2402/27-3.14*0.5*0.5*0.25*F2402/27</f>
        <v>15.786820833333334</v>
      </c>
      <c r="G2405" s="124">
        <v>0.1</v>
      </c>
      <c r="H2405" s="125">
        <f t="shared" si="457"/>
        <v>17.365502916666667</v>
      </c>
      <c r="I2405" s="126" t="s">
        <v>461</v>
      </c>
      <c r="J2405" s="37">
        <f t="shared" si="459"/>
        <v>0</v>
      </c>
      <c r="K2405" s="159">
        <f t="shared" si="458"/>
        <v>0</v>
      </c>
      <c r="L2405" s="160"/>
    </row>
    <row r="2406" spans="1:12" s="35" customFormat="1" x14ac:dyDescent="0.2">
      <c r="A2406" s="129">
        <f ca="1">IF(F2406&lt;&gt;"",1+MAX($A$1:A2405),"")</f>
        <v>188</v>
      </c>
      <c r="B2406" s="126" t="s">
        <v>966</v>
      </c>
      <c r="C2406" s="120" t="s">
        <v>967</v>
      </c>
      <c r="D2406" s="189"/>
      <c r="E2406" s="122" t="s">
        <v>465</v>
      </c>
      <c r="F2406" s="123">
        <f>F2403-F2404-F2405-3.14*0.5*0.5*0.25*F2402/27</f>
        <v>46.561822222222219</v>
      </c>
      <c r="G2406" s="124">
        <v>0.1</v>
      </c>
      <c r="H2406" s="125">
        <f t="shared" si="457"/>
        <v>51.218004444444446</v>
      </c>
      <c r="I2406" s="126" t="s">
        <v>461</v>
      </c>
      <c r="J2406" s="37">
        <f>J$275</f>
        <v>0</v>
      </c>
      <c r="K2406" s="159">
        <f t="shared" si="458"/>
        <v>0</v>
      </c>
      <c r="L2406" s="160"/>
    </row>
    <row r="2407" spans="1:12" s="21" customFormat="1" x14ac:dyDescent="0.2">
      <c r="A2407" s="129" t="str">
        <f>IF(F2407&lt;&gt;"",1+MAX($A$1:A2406),"")</f>
        <v/>
      </c>
      <c r="B2407" s="126"/>
      <c r="C2407" s="120"/>
      <c r="D2407" s="189"/>
      <c r="E2407" s="172"/>
      <c r="F2407" s="123"/>
      <c r="G2407" s="184"/>
      <c r="H2407" s="125"/>
      <c r="I2407" s="126"/>
      <c r="J2407" s="23"/>
      <c r="K2407" s="207"/>
      <c r="L2407" s="160"/>
    </row>
    <row r="2408" spans="1:12" s="35" customFormat="1" x14ac:dyDescent="0.2">
      <c r="A2408" s="129" t="str">
        <f>IF(F2408&lt;&gt;"",1+MAX($A$1:A2407),"")</f>
        <v/>
      </c>
      <c r="B2408" s="126"/>
      <c r="C2408" s="120"/>
      <c r="D2408" s="120"/>
      <c r="E2408" s="290" t="s">
        <v>973</v>
      </c>
      <c r="F2408" s="123"/>
      <c r="G2408" s="124"/>
      <c r="H2408" s="125"/>
      <c r="I2408" s="126"/>
      <c r="J2408" s="23"/>
      <c r="K2408" s="159"/>
      <c r="L2408" s="160"/>
    </row>
    <row r="2409" spans="1:12" s="35" customFormat="1" x14ac:dyDescent="0.2">
      <c r="A2409" s="129">
        <f ca="1">IF(F2409&lt;&gt;"",1+MAX($A$1:A2408),"")</f>
        <v>189</v>
      </c>
      <c r="B2409" s="126" t="s">
        <v>966</v>
      </c>
      <c r="C2409" s="120" t="s">
        <v>967</v>
      </c>
      <c r="D2409" s="189"/>
      <c r="E2409" s="172" t="s">
        <v>974</v>
      </c>
      <c r="F2409" s="123">
        <v>39.450000000000003</v>
      </c>
      <c r="G2409" s="124">
        <v>0.1</v>
      </c>
      <c r="H2409" s="125">
        <f t="shared" ref="H2409:H2413" si="460">F2409*(1+G2409)</f>
        <v>43.395000000000003</v>
      </c>
      <c r="I2409" s="126" t="s">
        <v>15</v>
      </c>
      <c r="J2409" s="37">
        <v>0</v>
      </c>
      <c r="K2409" s="159">
        <f t="shared" ref="K2409:K2413" si="461">J2409*H2409</f>
        <v>0</v>
      </c>
      <c r="L2409" s="160"/>
    </row>
    <row r="2410" spans="1:12" s="35" customFormat="1" x14ac:dyDescent="0.2">
      <c r="A2410" s="129">
        <f ca="1">IF(F2410&lt;&gt;"",1+MAX($A$1:A2409),"")</f>
        <v>190</v>
      </c>
      <c r="B2410" s="126" t="s">
        <v>966</v>
      </c>
      <c r="C2410" s="120" t="s">
        <v>967</v>
      </c>
      <c r="D2410" s="189"/>
      <c r="E2410" s="122" t="s">
        <v>464</v>
      </c>
      <c r="F2410" s="123">
        <f>2.5*4*F2409/27</f>
        <v>14.611111111111111</v>
      </c>
      <c r="G2410" s="124">
        <v>0.1</v>
      </c>
      <c r="H2410" s="125">
        <f t="shared" si="460"/>
        <v>16.072222222222223</v>
      </c>
      <c r="I2410" s="126" t="s">
        <v>461</v>
      </c>
      <c r="J2410" s="37">
        <f>J$274</f>
        <v>0</v>
      </c>
      <c r="K2410" s="159">
        <f t="shared" si="461"/>
        <v>0</v>
      </c>
      <c r="L2410" s="160"/>
    </row>
    <row r="2411" spans="1:12" s="35" customFormat="1" x14ac:dyDescent="0.2">
      <c r="A2411" s="129">
        <f ca="1">IF(F2411&lt;&gt;"",1+MAX($A$1:A2410),"")</f>
        <v>191</v>
      </c>
      <c r="B2411" s="126" t="s">
        <v>966</v>
      </c>
      <c r="C2411" s="120" t="s">
        <v>967</v>
      </c>
      <c r="D2411" s="189"/>
      <c r="E2411" s="122" t="s">
        <v>969</v>
      </c>
      <c r="F2411" s="123">
        <f>0.34*2.5*F2409/27</f>
        <v>1.2419444444444447</v>
      </c>
      <c r="G2411" s="124">
        <v>0.1</v>
      </c>
      <c r="H2411" s="125">
        <f t="shared" si="460"/>
        <v>1.3661388888888892</v>
      </c>
      <c r="I2411" s="126" t="s">
        <v>461</v>
      </c>
      <c r="J2411" s="37">
        <f t="shared" ref="J2411:J2412" si="462">J$124</f>
        <v>0</v>
      </c>
      <c r="K2411" s="159">
        <f t="shared" si="461"/>
        <v>0</v>
      </c>
      <c r="L2411" s="160"/>
    </row>
    <row r="2412" spans="1:12" s="35" customFormat="1" x14ac:dyDescent="0.2">
      <c r="A2412" s="129">
        <f ca="1">IF(F2412&lt;&gt;"",1+MAX($A$1:A2411),"")</f>
        <v>192</v>
      </c>
      <c r="B2412" s="126" t="s">
        <v>966</v>
      </c>
      <c r="C2412" s="120" t="s">
        <v>967</v>
      </c>
      <c r="D2412" s="189"/>
      <c r="E2412" s="122" t="s">
        <v>970</v>
      </c>
      <c r="F2412" s="123">
        <f>2.5*1.5*F2409/27-3.14*1*1*0.25*F2409/27</f>
        <v>4.3321944444444442</v>
      </c>
      <c r="G2412" s="124">
        <v>0.1</v>
      </c>
      <c r="H2412" s="125">
        <f t="shared" si="460"/>
        <v>4.7654138888888893</v>
      </c>
      <c r="I2412" s="126" t="s">
        <v>461</v>
      </c>
      <c r="J2412" s="37">
        <f t="shared" si="462"/>
        <v>0</v>
      </c>
      <c r="K2412" s="159">
        <f t="shared" si="461"/>
        <v>0</v>
      </c>
      <c r="L2412" s="160"/>
    </row>
    <row r="2413" spans="1:12" s="35" customFormat="1" x14ac:dyDescent="0.2">
      <c r="A2413" s="129">
        <f ca="1">IF(F2413&lt;&gt;"",1+MAX($A$1:A2412),"")</f>
        <v>193</v>
      </c>
      <c r="B2413" s="126" t="s">
        <v>966</v>
      </c>
      <c r="C2413" s="120" t="s">
        <v>967</v>
      </c>
      <c r="D2413" s="189"/>
      <c r="E2413" s="122" t="s">
        <v>465</v>
      </c>
      <c r="F2413" s="123">
        <f>F2410-F2411-F2412-3.14*1*1*0.25*F2409/27</f>
        <v>7.8899999999999988</v>
      </c>
      <c r="G2413" s="124">
        <v>0.1</v>
      </c>
      <c r="H2413" s="125">
        <f t="shared" si="460"/>
        <v>8.6789999999999985</v>
      </c>
      <c r="I2413" s="126" t="s">
        <v>461</v>
      </c>
      <c r="J2413" s="37">
        <f>J$275</f>
        <v>0</v>
      </c>
      <c r="K2413" s="159">
        <f t="shared" si="461"/>
        <v>0</v>
      </c>
      <c r="L2413" s="160"/>
    </row>
    <row r="2414" spans="1:12" s="21" customFormat="1" x14ac:dyDescent="0.2">
      <c r="A2414" s="129" t="str">
        <f>IF(F2414&lt;&gt;"",1+MAX($A$1:A2413),"")</f>
        <v/>
      </c>
      <c r="B2414" s="126"/>
      <c r="C2414" s="120"/>
      <c r="D2414" s="189"/>
      <c r="E2414" s="172"/>
      <c r="F2414" s="123"/>
      <c r="G2414" s="184"/>
      <c r="H2414" s="125"/>
      <c r="I2414" s="126"/>
      <c r="J2414" s="23"/>
      <c r="K2414" s="207"/>
      <c r="L2414" s="160"/>
    </row>
    <row r="2415" spans="1:12" s="35" customFormat="1" x14ac:dyDescent="0.2">
      <c r="A2415" s="129" t="str">
        <f>IF(F2415&lt;&gt;"",1+MAX($A$1:A2414),"")</f>
        <v/>
      </c>
      <c r="B2415" s="126"/>
      <c r="C2415" s="120"/>
      <c r="D2415" s="120"/>
      <c r="E2415" s="290" t="s">
        <v>975</v>
      </c>
      <c r="F2415" s="123"/>
      <c r="G2415" s="124"/>
      <c r="H2415" s="125"/>
      <c r="I2415" s="126"/>
      <c r="J2415" s="23"/>
      <c r="K2415" s="159"/>
      <c r="L2415" s="160"/>
    </row>
    <row r="2416" spans="1:12" s="35" customFormat="1" ht="63" x14ac:dyDescent="0.2">
      <c r="A2416" s="129">
        <f ca="1">IF(F2416&lt;&gt;"",1+MAX($A$1:A2415),"")</f>
        <v>194</v>
      </c>
      <c r="B2416" s="126" t="s">
        <v>966</v>
      </c>
      <c r="C2416" s="120" t="s">
        <v>967</v>
      </c>
      <c r="D2416" s="189"/>
      <c r="E2416" s="122" t="s">
        <v>976</v>
      </c>
      <c r="F2416" s="123">
        <v>20</v>
      </c>
      <c r="G2416" s="124">
        <v>0</v>
      </c>
      <c r="H2416" s="125">
        <f t="shared" ref="H2416:H2417" si="463">F2416*(1+G2416)</f>
        <v>20</v>
      </c>
      <c r="I2416" s="126" t="s">
        <v>20</v>
      </c>
      <c r="J2416" s="37">
        <v>0</v>
      </c>
      <c r="K2416" s="159">
        <f t="shared" ref="K2416:K2417" si="464">J2416*H2416</f>
        <v>0</v>
      </c>
      <c r="L2416" s="160"/>
    </row>
    <row r="2417" spans="1:12" s="35" customFormat="1" ht="63" x14ac:dyDescent="0.2">
      <c r="A2417" s="129">
        <f ca="1">IF(F2417&lt;&gt;"",1+MAX($A$1:A2416),"")</f>
        <v>195</v>
      </c>
      <c r="B2417" s="126" t="s">
        <v>966</v>
      </c>
      <c r="C2417" s="120" t="s">
        <v>967</v>
      </c>
      <c r="D2417" s="189"/>
      <c r="E2417" s="122" t="s">
        <v>977</v>
      </c>
      <c r="F2417" s="123">
        <v>4</v>
      </c>
      <c r="G2417" s="124">
        <v>0</v>
      </c>
      <c r="H2417" s="125">
        <f t="shared" si="463"/>
        <v>4</v>
      </c>
      <c r="I2417" s="126" t="s">
        <v>20</v>
      </c>
      <c r="J2417" s="37">
        <v>0</v>
      </c>
      <c r="K2417" s="159">
        <f t="shared" si="464"/>
        <v>0</v>
      </c>
      <c r="L2417" s="160"/>
    </row>
    <row r="2418" spans="1:12" s="21" customFormat="1" x14ac:dyDescent="0.2">
      <c r="A2418" s="129" t="str">
        <f>IF(F2418&lt;&gt;"",1+MAX($A$1:A2417),"")</f>
        <v/>
      </c>
      <c r="B2418" s="126"/>
      <c r="C2418" s="120"/>
      <c r="D2418" s="189"/>
      <c r="E2418" s="172"/>
      <c r="F2418" s="123"/>
      <c r="G2418" s="184"/>
      <c r="H2418" s="125"/>
      <c r="I2418" s="126"/>
      <c r="J2418" s="23"/>
      <c r="K2418" s="207"/>
      <c r="L2418" s="160"/>
    </row>
    <row r="2419" spans="1:12" s="35" customFormat="1" x14ac:dyDescent="0.2">
      <c r="A2419" s="129" t="str">
        <f>IF(F2419&lt;&gt;"",1+MAX($A$1:A2418),"")</f>
        <v/>
      </c>
      <c r="B2419" s="126"/>
      <c r="C2419" s="120"/>
      <c r="D2419" s="120"/>
      <c r="E2419" s="290" t="s">
        <v>978</v>
      </c>
      <c r="F2419" s="123"/>
      <c r="G2419" s="124"/>
      <c r="H2419" s="125"/>
      <c r="I2419" s="126"/>
      <c r="J2419" s="23"/>
      <c r="K2419" s="159"/>
      <c r="L2419" s="160"/>
    </row>
    <row r="2420" spans="1:12" s="35" customFormat="1" ht="63" x14ac:dyDescent="0.2">
      <c r="A2420" s="129">
        <f ca="1">IF(F2420&lt;&gt;"",1+MAX($A$1:A2419),"")</f>
        <v>196</v>
      </c>
      <c r="B2420" s="126" t="s">
        <v>966</v>
      </c>
      <c r="C2420" s="120" t="s">
        <v>967</v>
      </c>
      <c r="D2420" s="189"/>
      <c r="E2420" s="122" t="s">
        <v>979</v>
      </c>
      <c r="F2420" s="123">
        <v>1</v>
      </c>
      <c r="G2420" s="124">
        <v>0</v>
      </c>
      <c r="H2420" s="125">
        <f t="shared" ref="H2420:H2424" si="465">F2420*(1+G2420)</f>
        <v>1</v>
      </c>
      <c r="I2420" s="126" t="s">
        <v>20</v>
      </c>
      <c r="J2420" s="37">
        <v>0</v>
      </c>
      <c r="K2420" s="159">
        <f t="shared" ref="K2420:K2424" si="466">J2420*H2420</f>
        <v>0</v>
      </c>
      <c r="L2420" s="160"/>
    </row>
    <row r="2421" spans="1:12" s="35" customFormat="1" x14ac:dyDescent="0.2">
      <c r="A2421" s="129">
        <f ca="1">IF(F2421&lt;&gt;"",1+MAX($A$1:A2420),"")</f>
        <v>197</v>
      </c>
      <c r="B2421" s="126" t="s">
        <v>966</v>
      </c>
      <c r="C2421" s="120" t="s">
        <v>967</v>
      </c>
      <c r="D2421" s="189"/>
      <c r="E2421" s="122" t="s">
        <v>464</v>
      </c>
      <c r="F2421" s="123">
        <f>3.14*5*5*0.25*17/27+3.14*4*4*0.25*25/27</f>
        <v>23.986111111111111</v>
      </c>
      <c r="G2421" s="124">
        <v>0.1</v>
      </c>
      <c r="H2421" s="125">
        <f t="shared" si="465"/>
        <v>26.384722222222223</v>
      </c>
      <c r="I2421" s="126" t="s">
        <v>461</v>
      </c>
      <c r="J2421" s="37">
        <f>J$274</f>
        <v>0</v>
      </c>
      <c r="K2421" s="159">
        <f t="shared" si="466"/>
        <v>0</v>
      </c>
      <c r="L2421" s="160"/>
    </row>
    <row r="2422" spans="1:12" s="35" customFormat="1" x14ac:dyDescent="0.2">
      <c r="A2422" s="129">
        <f ca="1">IF(F2422&lt;&gt;"",1+MAX($A$1:A2421),"")</f>
        <v>198</v>
      </c>
      <c r="B2422" s="126" t="s">
        <v>966</v>
      </c>
      <c r="C2422" s="120" t="s">
        <v>967</v>
      </c>
      <c r="D2422" s="189"/>
      <c r="E2422" s="122" t="s">
        <v>980</v>
      </c>
      <c r="F2422" s="123">
        <f>3.14*5*5*0.25*17/27-3.14*4*4*0.25*17/27</f>
        <v>4.4483333333333324</v>
      </c>
      <c r="G2422" s="124">
        <v>0.1</v>
      </c>
      <c r="H2422" s="125">
        <f t="shared" si="465"/>
        <v>4.8931666666666658</v>
      </c>
      <c r="I2422" s="126" t="s">
        <v>461</v>
      </c>
      <c r="J2422" s="37">
        <v>0</v>
      </c>
      <c r="K2422" s="159">
        <f t="shared" si="466"/>
        <v>0</v>
      </c>
      <c r="L2422" s="160"/>
    </row>
    <row r="2423" spans="1:12" s="35" customFormat="1" x14ac:dyDescent="0.2">
      <c r="A2423" s="129">
        <f ca="1">IF(F2423&lt;&gt;"",1+MAX($A$1:A2422),"")</f>
        <v>199</v>
      </c>
      <c r="B2423" s="126" t="s">
        <v>966</v>
      </c>
      <c r="C2423" s="120" t="s">
        <v>967</v>
      </c>
      <c r="D2423" s="189"/>
      <c r="E2423" s="122" t="s">
        <v>981</v>
      </c>
      <c r="F2423" s="123">
        <f>3.14*4*4*0.25*25/27</f>
        <v>11.62962962962963</v>
      </c>
      <c r="G2423" s="124">
        <v>0.1</v>
      </c>
      <c r="H2423" s="125">
        <f t="shared" si="465"/>
        <v>12.792592592592595</v>
      </c>
      <c r="I2423" s="126" t="s">
        <v>461</v>
      </c>
      <c r="J2423" s="37">
        <f>J$124</f>
        <v>0</v>
      </c>
      <c r="K2423" s="159">
        <f t="shared" si="466"/>
        <v>0</v>
      </c>
      <c r="L2423" s="160"/>
    </row>
    <row r="2424" spans="1:12" s="35" customFormat="1" x14ac:dyDescent="0.2">
      <c r="A2424" s="129">
        <f ca="1">IF(F2424&lt;&gt;"",1+MAX($A$1:A2423),"")</f>
        <v>200</v>
      </c>
      <c r="B2424" s="126" t="s">
        <v>966</v>
      </c>
      <c r="C2424" s="120" t="s">
        <v>967</v>
      </c>
      <c r="D2424" s="189"/>
      <c r="E2424" s="122" t="s">
        <v>982</v>
      </c>
      <c r="F2424" s="123">
        <f>3.14*5*17+3.14*4*25</f>
        <v>580.90000000000009</v>
      </c>
      <c r="G2424" s="124">
        <v>0.1</v>
      </c>
      <c r="H2424" s="125">
        <f t="shared" si="465"/>
        <v>638.99000000000012</v>
      </c>
      <c r="I2424" s="126" t="s">
        <v>18</v>
      </c>
      <c r="J2424" s="37">
        <v>0</v>
      </c>
      <c r="K2424" s="159">
        <f t="shared" si="466"/>
        <v>0</v>
      </c>
      <c r="L2424" s="160"/>
    </row>
    <row r="2425" spans="1:12" s="21" customFormat="1" x14ac:dyDescent="0.2">
      <c r="A2425" s="129" t="str">
        <f>IF(F2425&lt;&gt;"",1+MAX($A$1:A2424),"")</f>
        <v/>
      </c>
      <c r="B2425" s="126"/>
      <c r="C2425" s="120"/>
      <c r="D2425" s="189"/>
      <c r="E2425" s="290"/>
      <c r="F2425" s="123"/>
      <c r="G2425" s="184"/>
      <c r="H2425" s="125"/>
      <c r="I2425" s="126"/>
      <c r="J2425" s="23"/>
      <c r="K2425" s="207"/>
      <c r="L2425" s="160"/>
    </row>
    <row r="2426" spans="1:12" s="21" customFormat="1" x14ac:dyDescent="0.2">
      <c r="A2426" s="129" t="str">
        <f>IF(F2426&lt;&gt;"",1+MAX($A$1:A2425),"")</f>
        <v/>
      </c>
      <c r="B2426" s="126"/>
      <c r="C2426" s="120"/>
      <c r="D2426" s="189"/>
      <c r="E2426" s="290" t="s">
        <v>983</v>
      </c>
      <c r="F2426" s="123"/>
      <c r="G2426" s="184"/>
      <c r="H2426" s="125"/>
      <c r="I2426" s="126"/>
      <c r="J2426" s="23"/>
      <c r="K2426" s="207"/>
      <c r="L2426" s="160"/>
    </row>
    <row r="2427" spans="1:12" s="35" customFormat="1" ht="47.25" x14ac:dyDescent="0.2">
      <c r="A2427" s="129">
        <f ca="1">IF(F2427&lt;&gt;"",1+MAX($A$1:A2426),"")</f>
        <v>201</v>
      </c>
      <c r="B2427" s="126" t="s">
        <v>966</v>
      </c>
      <c r="C2427" s="120" t="s">
        <v>967</v>
      </c>
      <c r="D2427" s="189"/>
      <c r="E2427" s="122" t="s">
        <v>984</v>
      </c>
      <c r="F2427" s="123">
        <v>1</v>
      </c>
      <c r="G2427" s="124">
        <v>0</v>
      </c>
      <c r="H2427" s="125">
        <f t="shared" ref="H2427:H2428" si="467">F2427*(1+G2427)</f>
        <v>1</v>
      </c>
      <c r="I2427" s="126" t="s">
        <v>20</v>
      </c>
      <c r="J2427" s="37">
        <v>0</v>
      </c>
      <c r="K2427" s="159">
        <f t="shared" ref="K2427:K2428" si="468">J2427*H2427</f>
        <v>0</v>
      </c>
      <c r="L2427" s="160"/>
    </row>
    <row r="2428" spans="1:12" s="35" customFormat="1" x14ac:dyDescent="0.2">
      <c r="A2428" s="129">
        <f ca="1">IF(F2428&lt;&gt;"",1+MAX($A$1:A2427),"")</f>
        <v>202</v>
      </c>
      <c r="B2428" s="126" t="s">
        <v>966</v>
      </c>
      <c r="C2428" s="120" t="s">
        <v>967</v>
      </c>
      <c r="D2428" s="189"/>
      <c r="E2428" s="122" t="s">
        <v>464</v>
      </c>
      <c r="F2428" s="123">
        <f>3*3*8.5/27</f>
        <v>2.8333333333333335</v>
      </c>
      <c r="G2428" s="124">
        <v>0.1</v>
      </c>
      <c r="H2428" s="125">
        <f t="shared" si="467"/>
        <v>3.1166666666666671</v>
      </c>
      <c r="I2428" s="126" t="s">
        <v>461</v>
      </c>
      <c r="J2428" s="37">
        <f>J$274</f>
        <v>0</v>
      </c>
      <c r="K2428" s="159">
        <f t="shared" si="468"/>
        <v>0</v>
      </c>
      <c r="L2428" s="160"/>
    </row>
    <row r="2429" spans="1:12" s="21" customFormat="1" x14ac:dyDescent="0.2">
      <c r="A2429" s="129" t="str">
        <f>IF(F2429&lt;&gt;"",1+MAX($A$1:A2428),"")</f>
        <v/>
      </c>
      <c r="B2429" s="126"/>
      <c r="C2429" s="120"/>
      <c r="D2429" s="189"/>
      <c r="E2429" s="172"/>
      <c r="F2429" s="123"/>
      <c r="G2429" s="184"/>
      <c r="H2429" s="125"/>
      <c r="I2429" s="126"/>
      <c r="J2429" s="23"/>
      <c r="K2429" s="207"/>
      <c r="L2429" s="160"/>
    </row>
    <row r="2430" spans="1:12" s="21" customFormat="1" x14ac:dyDescent="0.2">
      <c r="A2430" s="129" t="str">
        <f>IF(F2430&lt;&gt;"",1+MAX($A$1:A2429),"")</f>
        <v/>
      </c>
      <c r="B2430" s="126"/>
      <c r="C2430" s="120"/>
      <c r="D2430" s="189"/>
      <c r="E2430" s="290" t="s">
        <v>985</v>
      </c>
      <c r="F2430" s="123"/>
      <c r="G2430" s="184"/>
      <c r="H2430" s="125"/>
      <c r="I2430" s="126"/>
      <c r="J2430" s="23"/>
      <c r="K2430" s="207"/>
      <c r="L2430" s="160"/>
    </row>
    <row r="2431" spans="1:12" s="35" customFormat="1" ht="78.75" x14ac:dyDescent="0.2">
      <c r="A2431" s="129">
        <f ca="1">IF(F2431&lt;&gt;"",1+MAX($A$1:A2430),"")</f>
        <v>203</v>
      </c>
      <c r="B2431" s="126" t="s">
        <v>966</v>
      </c>
      <c r="C2431" s="120" t="s">
        <v>967</v>
      </c>
      <c r="D2431" s="189"/>
      <c r="E2431" s="122" t="s">
        <v>986</v>
      </c>
      <c r="F2431" s="123">
        <v>11</v>
      </c>
      <c r="G2431" s="124">
        <v>0.1</v>
      </c>
      <c r="H2431" s="125">
        <f t="shared" ref="H2431:H2432" si="469">F2431*(1+G2431)</f>
        <v>12.100000000000001</v>
      </c>
      <c r="I2431" s="126" t="s">
        <v>15</v>
      </c>
      <c r="J2431" s="37">
        <v>0</v>
      </c>
      <c r="K2431" s="159">
        <f t="shared" ref="K2431:K2432" si="470">J2431*H2431</f>
        <v>0</v>
      </c>
      <c r="L2431" s="160"/>
    </row>
    <row r="2432" spans="1:12" s="35" customFormat="1" x14ac:dyDescent="0.2">
      <c r="A2432" s="129">
        <f ca="1">IF(F2432&lt;&gt;"",1+MAX($A$1:A2431),"")</f>
        <v>204</v>
      </c>
      <c r="B2432" s="126" t="s">
        <v>966</v>
      </c>
      <c r="C2432" s="120" t="s">
        <v>967</v>
      </c>
      <c r="D2432" s="189"/>
      <c r="E2432" s="122" t="s">
        <v>464</v>
      </c>
      <c r="F2432" s="123">
        <f>11*2*1/27</f>
        <v>0.81481481481481477</v>
      </c>
      <c r="G2432" s="124">
        <v>0.1</v>
      </c>
      <c r="H2432" s="125">
        <f t="shared" si="469"/>
        <v>0.89629629629629637</v>
      </c>
      <c r="I2432" s="126" t="s">
        <v>461</v>
      </c>
      <c r="J2432" s="37">
        <f>J$274</f>
        <v>0</v>
      </c>
      <c r="K2432" s="159">
        <f t="shared" si="470"/>
        <v>0</v>
      </c>
      <c r="L2432" s="160"/>
    </row>
    <row r="2433" spans="1:12" s="21" customFormat="1" x14ac:dyDescent="0.2">
      <c r="A2433" s="129" t="str">
        <f>IF(F2433&lt;&gt;"",1+MAX($A$1:A2432),"")</f>
        <v/>
      </c>
      <c r="B2433" s="126"/>
      <c r="C2433" s="120"/>
      <c r="D2433" s="189"/>
      <c r="E2433" s="172"/>
      <c r="F2433" s="123"/>
      <c r="G2433" s="184"/>
      <c r="H2433" s="125"/>
      <c r="I2433" s="126"/>
      <c r="J2433" s="23"/>
      <c r="K2433" s="207"/>
      <c r="L2433" s="160"/>
    </row>
    <row r="2434" spans="1:12" s="35" customFormat="1" x14ac:dyDescent="0.2">
      <c r="A2434" s="129" t="str">
        <f>IF(F2434&lt;&gt;"",1+MAX($A$1:A2433),"")</f>
        <v/>
      </c>
      <c r="B2434" s="126"/>
      <c r="C2434" s="120"/>
      <c r="D2434" s="120"/>
      <c r="E2434" s="290" t="s">
        <v>987</v>
      </c>
      <c r="F2434" s="123"/>
      <c r="G2434" s="124"/>
      <c r="H2434" s="125"/>
      <c r="I2434" s="126"/>
      <c r="J2434" s="23"/>
      <c r="K2434" s="159"/>
      <c r="L2434" s="160"/>
    </row>
    <row r="2435" spans="1:12" s="35" customFormat="1" x14ac:dyDescent="0.2">
      <c r="A2435" s="129">
        <f ca="1">IF(F2435&lt;&gt;"",1+MAX($A$1:A2434),"")</f>
        <v>205</v>
      </c>
      <c r="B2435" s="126" t="s">
        <v>966</v>
      </c>
      <c r="C2435" s="120"/>
      <c r="D2435" s="189"/>
      <c r="E2435" s="122" t="s">
        <v>988</v>
      </c>
      <c r="F2435" s="123">
        <v>2</v>
      </c>
      <c r="G2435" s="124">
        <v>0</v>
      </c>
      <c r="H2435" s="125">
        <f t="shared" ref="H2435:H2440" si="471">F2435*(1+G2435)</f>
        <v>2</v>
      </c>
      <c r="I2435" s="126" t="s">
        <v>20</v>
      </c>
      <c r="J2435" s="37">
        <v>0</v>
      </c>
      <c r="K2435" s="159">
        <f t="shared" ref="K2435:K2440" si="472">J2435*H2435</f>
        <v>0</v>
      </c>
      <c r="L2435" s="160"/>
    </row>
    <row r="2436" spans="1:12" s="35" customFormat="1" x14ac:dyDescent="0.2">
      <c r="A2436" s="129">
        <f ca="1">IF(F2436&lt;&gt;"",1+MAX($A$1:A2435),"")</f>
        <v>206</v>
      </c>
      <c r="B2436" s="126" t="s">
        <v>966</v>
      </c>
      <c r="C2436" s="120"/>
      <c r="D2436" s="189"/>
      <c r="E2436" s="122" t="s">
        <v>989</v>
      </c>
      <c r="F2436" s="123">
        <v>1</v>
      </c>
      <c r="G2436" s="124">
        <v>0</v>
      </c>
      <c r="H2436" s="125">
        <f t="shared" si="471"/>
        <v>1</v>
      </c>
      <c r="I2436" s="126" t="s">
        <v>20</v>
      </c>
      <c r="J2436" s="37">
        <v>0</v>
      </c>
      <c r="K2436" s="159">
        <f t="shared" si="472"/>
        <v>0</v>
      </c>
      <c r="L2436" s="160"/>
    </row>
    <row r="2437" spans="1:12" s="35" customFormat="1" x14ac:dyDescent="0.2">
      <c r="A2437" s="129">
        <f ca="1">IF(F2437&lt;&gt;"",1+MAX($A$1:A2436),"")</f>
        <v>207</v>
      </c>
      <c r="B2437" s="126" t="s">
        <v>966</v>
      </c>
      <c r="C2437" s="120"/>
      <c r="D2437" s="189"/>
      <c r="E2437" s="291" t="s">
        <v>990</v>
      </c>
      <c r="F2437" s="123">
        <v>1</v>
      </c>
      <c r="G2437" s="124">
        <v>0</v>
      </c>
      <c r="H2437" s="125">
        <f t="shared" si="471"/>
        <v>1</v>
      </c>
      <c r="I2437" s="126" t="s">
        <v>20</v>
      </c>
      <c r="J2437" s="37">
        <v>0</v>
      </c>
      <c r="K2437" s="159">
        <f t="shared" si="472"/>
        <v>0</v>
      </c>
      <c r="L2437" s="160"/>
    </row>
    <row r="2438" spans="1:12" s="35" customFormat="1" ht="31.5" x14ac:dyDescent="0.2">
      <c r="A2438" s="129">
        <f ca="1">IF(F2438&lt;&gt;"",1+MAX($A$1:A2437),"")</f>
        <v>208</v>
      </c>
      <c r="B2438" s="126" t="s">
        <v>966</v>
      </c>
      <c r="C2438" s="120"/>
      <c r="D2438" s="189"/>
      <c r="E2438" s="122" t="s">
        <v>991</v>
      </c>
      <c r="F2438" s="123">
        <v>1</v>
      </c>
      <c r="G2438" s="124">
        <v>0</v>
      </c>
      <c r="H2438" s="125">
        <f t="shared" si="471"/>
        <v>1</v>
      </c>
      <c r="I2438" s="126" t="s">
        <v>20</v>
      </c>
      <c r="J2438" s="37">
        <v>0</v>
      </c>
      <c r="K2438" s="159">
        <f t="shared" si="472"/>
        <v>0</v>
      </c>
      <c r="L2438" s="160"/>
    </row>
    <row r="2439" spans="1:12" s="35" customFormat="1" x14ac:dyDescent="0.2">
      <c r="A2439" s="129">
        <f ca="1">IF(F2439&lt;&gt;"",1+MAX($A$1:A2438),"")</f>
        <v>209</v>
      </c>
      <c r="B2439" s="126" t="s">
        <v>966</v>
      </c>
      <c r="C2439" s="120"/>
      <c r="D2439" s="189"/>
      <c r="E2439" s="122" t="s">
        <v>992</v>
      </c>
      <c r="F2439" s="123">
        <v>19</v>
      </c>
      <c r="G2439" s="124">
        <v>0.1</v>
      </c>
      <c r="H2439" s="125">
        <f t="shared" si="471"/>
        <v>20.900000000000002</v>
      </c>
      <c r="I2439" s="126" t="s">
        <v>15</v>
      </c>
      <c r="J2439" s="37">
        <v>0</v>
      </c>
      <c r="K2439" s="159">
        <f t="shared" si="472"/>
        <v>0</v>
      </c>
      <c r="L2439" s="160"/>
    </row>
    <row r="2440" spans="1:12" s="35" customFormat="1" x14ac:dyDescent="0.2">
      <c r="A2440" s="129">
        <f ca="1">IF(F2440&lt;&gt;"",1+MAX($A$1:A2439),"")</f>
        <v>210</v>
      </c>
      <c r="B2440" s="126" t="s">
        <v>993</v>
      </c>
      <c r="C2440" s="120"/>
      <c r="D2440" s="189"/>
      <c r="E2440" s="122" t="s">
        <v>994</v>
      </c>
      <c r="F2440" s="123">
        <v>33</v>
      </c>
      <c r="G2440" s="124">
        <v>0</v>
      </c>
      <c r="H2440" s="125">
        <f t="shared" si="471"/>
        <v>33</v>
      </c>
      <c r="I2440" s="126" t="s">
        <v>20</v>
      </c>
      <c r="J2440" s="37">
        <v>0</v>
      </c>
      <c r="K2440" s="159">
        <f t="shared" si="472"/>
        <v>0</v>
      </c>
      <c r="L2440" s="160"/>
    </row>
    <row r="2441" spans="1:12" s="21" customFormat="1" x14ac:dyDescent="0.2">
      <c r="A2441" s="129" t="str">
        <f>IF(F2441&lt;&gt;"",1+MAX($A$1:A2440),"")</f>
        <v/>
      </c>
      <c r="B2441" s="126"/>
      <c r="C2441" s="120"/>
      <c r="D2441" s="189"/>
      <c r="E2441" s="296"/>
      <c r="F2441" s="125"/>
      <c r="G2441" s="184"/>
      <c r="H2441" s="125"/>
      <c r="I2441" s="126"/>
      <c r="J2441" s="127"/>
      <c r="K2441" s="159"/>
      <c r="L2441" s="212"/>
    </row>
    <row r="2442" spans="1:12" s="21" customFormat="1" x14ac:dyDescent="0.2">
      <c r="A2442" s="129" t="str">
        <f>IF(F2442&lt;&gt;"",1+MAX($A$1:A2441),"")</f>
        <v/>
      </c>
      <c r="B2442" s="120"/>
      <c r="C2442" s="120"/>
      <c r="D2442" s="189"/>
      <c r="E2442" s="190" t="s">
        <v>995</v>
      </c>
      <c r="F2442" s="123"/>
      <c r="G2442" s="184"/>
      <c r="H2442" s="125"/>
      <c r="I2442" s="126"/>
      <c r="J2442" s="127"/>
      <c r="K2442" s="105"/>
      <c r="L2442" s="11">
        <f>SUM(K2388:K2441)</f>
        <v>0</v>
      </c>
    </row>
    <row r="2443" spans="1:12" s="35" customFormat="1" x14ac:dyDescent="0.2">
      <c r="A2443" s="129" t="str">
        <f>IF(F2443&lt;&gt;"",1+MAX($A$1:A2442),"")</f>
        <v/>
      </c>
      <c r="B2443" s="126"/>
      <c r="C2443" s="120"/>
      <c r="D2443" s="120"/>
      <c r="E2443" s="122"/>
      <c r="F2443" s="123"/>
      <c r="G2443" s="184"/>
      <c r="H2443" s="125"/>
      <c r="I2443" s="126"/>
      <c r="J2443" s="37"/>
      <c r="K2443" s="159"/>
      <c r="L2443" s="160"/>
    </row>
    <row r="2444" spans="1:12" s="21" customFormat="1" x14ac:dyDescent="0.2">
      <c r="A2444" s="129" t="str">
        <f>IF(F2444&lt;&gt;"",1+MAX($A$1:A2443),"")</f>
        <v/>
      </c>
      <c r="B2444" s="126"/>
      <c r="C2444" s="120"/>
      <c r="D2444" s="189"/>
      <c r="E2444" s="172" t="s">
        <v>996</v>
      </c>
      <c r="F2444" s="123"/>
      <c r="G2444" s="184"/>
      <c r="H2444" s="125"/>
      <c r="I2444" s="126"/>
      <c r="J2444" s="23"/>
      <c r="K2444" s="207"/>
      <c r="L2444" s="160"/>
    </row>
    <row r="2445" spans="1:12" s="35" customFormat="1" x14ac:dyDescent="0.2">
      <c r="A2445" s="129">
        <f ca="1">IF(F2445&lt;&gt;"",1+MAX($A$1:A2444),"")</f>
        <v>211</v>
      </c>
      <c r="B2445" s="126" t="s">
        <v>810</v>
      </c>
      <c r="C2445" s="208" t="s">
        <v>302</v>
      </c>
      <c r="D2445" s="189"/>
      <c r="E2445" s="172" t="s">
        <v>997</v>
      </c>
      <c r="F2445" s="123">
        <v>46.99</v>
      </c>
      <c r="G2445" s="124">
        <v>0.1</v>
      </c>
      <c r="H2445" s="125">
        <f t="shared" ref="H2445:H2449" si="473">F2445*(1+G2445)</f>
        <v>51.689000000000007</v>
      </c>
      <c r="I2445" s="126" t="s">
        <v>15</v>
      </c>
      <c r="J2445" s="37">
        <v>0</v>
      </c>
      <c r="K2445" s="159">
        <f t="shared" ref="K2445:K2449" si="474">J2445*H2445</f>
        <v>0</v>
      </c>
      <c r="L2445" s="160"/>
    </row>
    <row r="2446" spans="1:12" s="35" customFormat="1" x14ac:dyDescent="0.2">
      <c r="A2446" s="129">
        <f ca="1">IF(F2446&lt;&gt;"",1+MAX($A$1:A2445),"")</f>
        <v>212</v>
      </c>
      <c r="B2446" s="126" t="s">
        <v>810</v>
      </c>
      <c r="C2446" s="208" t="s">
        <v>302</v>
      </c>
      <c r="D2446" s="189"/>
      <c r="E2446" s="122" t="s">
        <v>464</v>
      </c>
      <c r="F2446" s="123">
        <f>2*7*F2445/27</f>
        <v>24.365185185185187</v>
      </c>
      <c r="G2446" s="124">
        <v>0.1</v>
      </c>
      <c r="H2446" s="125">
        <f t="shared" si="473"/>
        <v>26.801703703703708</v>
      </c>
      <c r="I2446" s="126" t="s">
        <v>461</v>
      </c>
      <c r="J2446" s="37">
        <f>J$274</f>
        <v>0</v>
      </c>
      <c r="K2446" s="159">
        <f t="shared" si="474"/>
        <v>0</v>
      </c>
      <c r="L2446" s="160"/>
    </row>
    <row r="2447" spans="1:12" s="35" customFormat="1" x14ac:dyDescent="0.2">
      <c r="A2447" s="129">
        <f ca="1">IF(F2447&lt;&gt;"",1+MAX($A$1:A2446),"")</f>
        <v>213</v>
      </c>
      <c r="B2447" s="126" t="s">
        <v>810</v>
      </c>
      <c r="C2447" s="208" t="s">
        <v>302</v>
      </c>
      <c r="D2447" s="189"/>
      <c r="E2447" s="122" t="s">
        <v>969</v>
      </c>
      <c r="F2447" s="123">
        <f>2*1.5*F2445/27-3.14*0.5*0.5*0.25*F2445/27</f>
        <v>4.8795634259259257</v>
      </c>
      <c r="G2447" s="124">
        <v>0.1</v>
      </c>
      <c r="H2447" s="125">
        <f t="shared" si="473"/>
        <v>5.3675197685185188</v>
      </c>
      <c r="I2447" s="126" t="s">
        <v>461</v>
      </c>
      <c r="J2447" s="37">
        <f>J$124</f>
        <v>0</v>
      </c>
      <c r="K2447" s="159">
        <f t="shared" si="474"/>
        <v>0</v>
      </c>
      <c r="L2447" s="160"/>
    </row>
    <row r="2448" spans="1:12" s="35" customFormat="1" x14ac:dyDescent="0.2">
      <c r="A2448" s="129">
        <f ca="1">IF(F2448&lt;&gt;"",1+MAX($A$1:A2447),"")</f>
        <v>214</v>
      </c>
      <c r="B2448" s="126" t="s">
        <v>810</v>
      </c>
      <c r="C2448" s="208" t="s">
        <v>302</v>
      </c>
      <c r="D2448" s="189"/>
      <c r="E2448" s="122" t="s">
        <v>465</v>
      </c>
      <c r="F2448" s="123">
        <f>F2446-F2447-3.14*0.5*0.5*0.25*F2445/27</f>
        <v>19.144074074074076</v>
      </c>
      <c r="G2448" s="124">
        <v>0.1</v>
      </c>
      <c r="H2448" s="125">
        <f t="shared" si="473"/>
        <v>21.058481481481486</v>
      </c>
      <c r="I2448" s="126" t="s">
        <v>461</v>
      </c>
      <c r="J2448" s="37">
        <f>J$275</f>
        <v>0</v>
      </c>
      <c r="K2448" s="159">
        <f t="shared" si="474"/>
        <v>0</v>
      </c>
      <c r="L2448" s="160"/>
    </row>
    <row r="2449" spans="1:12" s="35" customFormat="1" x14ac:dyDescent="0.2">
      <c r="A2449" s="129">
        <f ca="1">IF(F2449&lt;&gt;"",1+MAX($A$1:A2448),"")</f>
        <v>215</v>
      </c>
      <c r="B2449" s="126" t="s">
        <v>810</v>
      </c>
      <c r="C2449" s="208" t="s">
        <v>302</v>
      </c>
      <c r="D2449" s="189"/>
      <c r="E2449" s="122" t="s">
        <v>998</v>
      </c>
      <c r="F2449" s="123">
        <f>F2445*7*2</f>
        <v>657.86</v>
      </c>
      <c r="G2449" s="124">
        <v>0.1</v>
      </c>
      <c r="H2449" s="125">
        <f t="shared" si="473"/>
        <v>723.64600000000007</v>
      </c>
      <c r="I2449" s="126" t="s">
        <v>18</v>
      </c>
      <c r="J2449" s="37">
        <v>0</v>
      </c>
      <c r="K2449" s="159">
        <f t="shared" si="474"/>
        <v>0</v>
      </c>
      <c r="L2449" s="160"/>
    </row>
    <row r="2450" spans="1:12" s="21" customFormat="1" x14ac:dyDescent="0.2">
      <c r="A2450" s="129" t="str">
        <f>IF(F2450&lt;&gt;"",1+MAX($A$1:A2449),"")</f>
        <v/>
      </c>
      <c r="B2450" s="126"/>
      <c r="C2450" s="120"/>
      <c r="D2450" s="189"/>
      <c r="E2450" s="292"/>
      <c r="F2450" s="123"/>
      <c r="G2450" s="184"/>
      <c r="H2450" s="125"/>
      <c r="I2450" s="126"/>
      <c r="J2450" s="23"/>
      <c r="K2450" s="207"/>
      <c r="L2450" s="160"/>
    </row>
    <row r="2451" spans="1:12" s="35" customFormat="1" x14ac:dyDescent="0.2">
      <c r="A2451" s="129">
        <f ca="1">IF(F2451&lt;&gt;"",1+MAX($A$1:A2450),"")</f>
        <v>216</v>
      </c>
      <c r="B2451" s="126" t="s">
        <v>810</v>
      </c>
      <c r="C2451" s="208" t="s">
        <v>302</v>
      </c>
      <c r="D2451" s="189"/>
      <c r="E2451" s="172" t="s">
        <v>999</v>
      </c>
      <c r="F2451" s="123">
        <v>164.47</v>
      </c>
      <c r="G2451" s="124">
        <v>0.1</v>
      </c>
      <c r="H2451" s="125">
        <f t="shared" ref="H2451:H2455" si="475">F2451*(1+G2451)</f>
        <v>180.917</v>
      </c>
      <c r="I2451" s="126" t="s">
        <v>15</v>
      </c>
      <c r="J2451" s="37">
        <v>0</v>
      </c>
      <c r="K2451" s="159">
        <f t="shared" ref="K2451:K2455" si="476">J2451*H2451</f>
        <v>0</v>
      </c>
      <c r="L2451" s="160"/>
    </row>
    <row r="2452" spans="1:12" s="35" customFormat="1" x14ac:dyDescent="0.2">
      <c r="A2452" s="129">
        <f ca="1">IF(F2452&lt;&gt;"",1+MAX($A$1:A2451),"")</f>
        <v>217</v>
      </c>
      <c r="B2452" s="126" t="s">
        <v>810</v>
      </c>
      <c r="C2452" s="208" t="s">
        <v>302</v>
      </c>
      <c r="D2452" s="189"/>
      <c r="E2452" s="122" t="s">
        <v>464</v>
      </c>
      <c r="F2452" s="123">
        <f>3*11*F2451/27</f>
        <v>201.01888888888891</v>
      </c>
      <c r="G2452" s="124">
        <v>0.1</v>
      </c>
      <c r="H2452" s="125">
        <f t="shared" si="475"/>
        <v>221.12077777777782</v>
      </c>
      <c r="I2452" s="126" t="s">
        <v>461</v>
      </c>
      <c r="J2452" s="37">
        <f>J$274</f>
        <v>0</v>
      </c>
      <c r="K2452" s="159">
        <f t="shared" si="476"/>
        <v>0</v>
      </c>
      <c r="L2452" s="160"/>
    </row>
    <row r="2453" spans="1:12" s="35" customFormat="1" x14ac:dyDescent="0.2">
      <c r="A2453" s="129">
        <f ca="1">IF(F2453&lt;&gt;"",1+MAX($A$1:A2452),"")</f>
        <v>218</v>
      </c>
      <c r="B2453" s="126" t="s">
        <v>810</v>
      </c>
      <c r="C2453" s="208" t="s">
        <v>302</v>
      </c>
      <c r="D2453" s="189"/>
      <c r="E2453" s="122" t="s">
        <v>969</v>
      </c>
      <c r="F2453" s="123">
        <f>3*2*F2451/27-3.14*1*1*0.25*F2451/27</f>
        <v>31.767075925925926</v>
      </c>
      <c r="G2453" s="124">
        <v>0.1</v>
      </c>
      <c r="H2453" s="125">
        <f t="shared" si="475"/>
        <v>34.943783518518522</v>
      </c>
      <c r="I2453" s="126" t="s">
        <v>461</v>
      </c>
      <c r="J2453" s="37">
        <f>J$124</f>
        <v>0</v>
      </c>
      <c r="K2453" s="159">
        <f t="shared" si="476"/>
        <v>0</v>
      </c>
      <c r="L2453" s="160"/>
    </row>
    <row r="2454" spans="1:12" s="35" customFormat="1" x14ac:dyDescent="0.2">
      <c r="A2454" s="129">
        <f ca="1">IF(F2454&lt;&gt;"",1+MAX($A$1:A2453),"")</f>
        <v>219</v>
      </c>
      <c r="B2454" s="126" t="s">
        <v>810</v>
      </c>
      <c r="C2454" s="208" t="s">
        <v>302</v>
      </c>
      <c r="D2454" s="189"/>
      <c r="E2454" s="122" t="s">
        <v>465</v>
      </c>
      <c r="F2454" s="123">
        <f>F2452-F2453-3.14*1*1*0.25*F2451/27</f>
        <v>164.47000000000003</v>
      </c>
      <c r="G2454" s="124">
        <v>0.1</v>
      </c>
      <c r="H2454" s="125">
        <f t="shared" si="475"/>
        <v>180.91700000000006</v>
      </c>
      <c r="I2454" s="126" t="s">
        <v>461</v>
      </c>
      <c r="J2454" s="37">
        <f>J$275</f>
        <v>0</v>
      </c>
      <c r="K2454" s="159">
        <f t="shared" si="476"/>
        <v>0</v>
      </c>
      <c r="L2454" s="160"/>
    </row>
    <row r="2455" spans="1:12" s="35" customFormat="1" x14ac:dyDescent="0.2">
      <c r="A2455" s="129">
        <f ca="1">IF(F2455&lt;&gt;"",1+MAX($A$1:A2454),"")</f>
        <v>220</v>
      </c>
      <c r="B2455" s="126" t="s">
        <v>810</v>
      </c>
      <c r="C2455" s="208" t="s">
        <v>302</v>
      </c>
      <c r="D2455" s="189"/>
      <c r="E2455" s="122" t="s">
        <v>998</v>
      </c>
      <c r="F2455" s="123">
        <f>F2451*11*2</f>
        <v>3618.34</v>
      </c>
      <c r="G2455" s="124">
        <v>0.1</v>
      </c>
      <c r="H2455" s="125">
        <f t="shared" si="475"/>
        <v>3980.1740000000004</v>
      </c>
      <c r="I2455" s="126" t="s">
        <v>18</v>
      </c>
      <c r="J2455" s="37">
        <f>J$360</f>
        <v>0</v>
      </c>
      <c r="K2455" s="159">
        <f t="shared" si="476"/>
        <v>0</v>
      </c>
      <c r="L2455" s="160"/>
    </row>
    <row r="2456" spans="1:12" s="21" customFormat="1" x14ac:dyDescent="0.2">
      <c r="A2456" s="129" t="str">
        <f>IF(F2456&lt;&gt;"",1+MAX($A$1:A2455),"")</f>
        <v/>
      </c>
      <c r="B2456" s="126"/>
      <c r="C2456" s="120"/>
      <c r="D2456" s="189"/>
      <c r="E2456" s="292" t="s">
        <v>1000</v>
      </c>
      <c r="F2456" s="123"/>
      <c r="G2456" s="184"/>
      <c r="H2456" s="125"/>
      <c r="I2456" s="126"/>
      <c r="J2456" s="23"/>
      <c r="K2456" s="207"/>
      <c r="L2456" s="160"/>
    </row>
    <row r="2457" spans="1:12" s="35" customFormat="1" x14ac:dyDescent="0.2">
      <c r="A2457" s="129" t="str">
        <f>IF(F2457&lt;&gt;"",1+MAX($A$1:A2456),"")</f>
        <v/>
      </c>
      <c r="B2457" s="126"/>
      <c r="C2457" s="120"/>
      <c r="D2457" s="120"/>
      <c r="E2457" s="290" t="s">
        <v>987</v>
      </c>
      <c r="F2457" s="123"/>
      <c r="G2457" s="124"/>
      <c r="H2457" s="125"/>
      <c r="I2457" s="126"/>
      <c r="J2457" s="23"/>
      <c r="K2457" s="159"/>
      <c r="L2457" s="160"/>
    </row>
    <row r="2458" spans="1:12" s="35" customFormat="1" x14ac:dyDescent="0.2">
      <c r="A2458" s="129">
        <f ca="1">IF(F2458&lt;&gt;"",1+MAX($A$1:A2457),"")</f>
        <v>221</v>
      </c>
      <c r="B2458" s="126" t="s">
        <v>810</v>
      </c>
      <c r="C2458" s="120"/>
      <c r="D2458" s="189"/>
      <c r="E2458" s="122" t="s">
        <v>1001</v>
      </c>
      <c r="F2458" s="123">
        <v>2</v>
      </c>
      <c r="G2458" s="124">
        <v>0</v>
      </c>
      <c r="H2458" s="125">
        <f t="shared" ref="H2458:H2460" si="477">F2458*(1+G2458)</f>
        <v>2</v>
      </c>
      <c r="I2458" s="126" t="s">
        <v>20</v>
      </c>
      <c r="J2458" s="37">
        <v>0</v>
      </c>
      <c r="K2458" s="159">
        <f t="shared" ref="K2458:K2460" si="478">J2458*H2458</f>
        <v>0</v>
      </c>
      <c r="L2458" s="160"/>
    </row>
    <row r="2459" spans="1:12" s="35" customFormat="1" x14ac:dyDescent="0.2">
      <c r="A2459" s="129">
        <f ca="1">IF(F2459&lt;&gt;"",1+MAX($A$1:A2458),"")</f>
        <v>222</v>
      </c>
      <c r="B2459" s="126" t="s">
        <v>810</v>
      </c>
      <c r="C2459" s="120"/>
      <c r="D2459" s="189"/>
      <c r="E2459" s="122" t="s">
        <v>1002</v>
      </c>
      <c r="F2459" s="123">
        <v>2</v>
      </c>
      <c r="G2459" s="124">
        <v>0</v>
      </c>
      <c r="H2459" s="125">
        <f t="shared" si="477"/>
        <v>2</v>
      </c>
      <c r="I2459" s="126" t="s">
        <v>20</v>
      </c>
      <c r="J2459" s="37">
        <v>0</v>
      </c>
      <c r="K2459" s="159">
        <f t="shared" si="478"/>
        <v>0</v>
      </c>
      <c r="L2459" s="160"/>
    </row>
    <row r="2460" spans="1:12" s="35" customFormat="1" ht="31.5" x14ac:dyDescent="0.2">
      <c r="A2460" s="129">
        <f ca="1">IF(F2460&lt;&gt;"",1+MAX($A$1:A2459),"")</f>
        <v>223</v>
      </c>
      <c r="B2460" s="126" t="s">
        <v>810</v>
      </c>
      <c r="C2460" s="120"/>
      <c r="D2460" s="189"/>
      <c r="E2460" s="122" t="s">
        <v>1003</v>
      </c>
      <c r="F2460" s="123">
        <v>1</v>
      </c>
      <c r="G2460" s="124">
        <v>0</v>
      </c>
      <c r="H2460" s="125">
        <f t="shared" si="477"/>
        <v>1</v>
      </c>
      <c r="I2460" s="126" t="s">
        <v>20</v>
      </c>
      <c r="J2460" s="37">
        <v>0</v>
      </c>
      <c r="K2460" s="159">
        <f t="shared" si="478"/>
        <v>0</v>
      </c>
      <c r="L2460" s="160"/>
    </row>
    <row r="2461" spans="1:12" s="21" customFormat="1" x14ac:dyDescent="0.2">
      <c r="A2461" s="129" t="str">
        <f>IF(F2461&lt;&gt;"",1+MAX($A$1:A2460),"")</f>
        <v/>
      </c>
      <c r="B2461" s="126"/>
      <c r="C2461" s="120"/>
      <c r="D2461" s="189"/>
      <c r="E2461" s="296"/>
      <c r="F2461" s="125"/>
      <c r="G2461" s="184"/>
      <c r="H2461" s="125"/>
      <c r="I2461" s="126"/>
      <c r="J2461" s="127"/>
      <c r="K2461" s="159"/>
      <c r="L2461" s="212"/>
    </row>
    <row r="2462" spans="1:12" s="21" customFormat="1" x14ac:dyDescent="0.2">
      <c r="A2462" s="129" t="str">
        <f>IF(F2462&lt;&gt;"",1+MAX($A$1:A2461),"")</f>
        <v/>
      </c>
      <c r="B2462" s="120"/>
      <c r="C2462" s="120"/>
      <c r="D2462" s="189"/>
      <c r="E2462" s="190" t="s">
        <v>1004</v>
      </c>
      <c r="F2462" s="123"/>
      <c r="G2462" s="184"/>
      <c r="H2462" s="125"/>
      <c r="I2462" s="126"/>
      <c r="J2462" s="127"/>
      <c r="K2462" s="105"/>
      <c r="L2462" s="11">
        <f>SUM(K2444:K2461)</f>
        <v>0</v>
      </c>
    </row>
    <row r="2463" spans="1:12" s="35" customFormat="1" x14ac:dyDescent="0.2">
      <c r="A2463" s="129" t="str">
        <f>IF(F2463&lt;&gt;"",1+MAX($A$1:A2462),"")</f>
        <v/>
      </c>
      <c r="B2463" s="126"/>
      <c r="C2463" s="120"/>
      <c r="D2463" s="120"/>
      <c r="E2463" s="122"/>
      <c r="F2463" s="123"/>
      <c r="G2463" s="184"/>
      <c r="H2463" s="125"/>
      <c r="I2463" s="126"/>
      <c r="J2463" s="37"/>
      <c r="K2463" s="159"/>
      <c r="L2463" s="160"/>
    </row>
    <row r="2464" spans="1:12" s="21" customFormat="1" x14ac:dyDescent="0.2">
      <c r="A2464" s="129" t="str">
        <f>IF(F2464&lt;&gt;"",1+MAX($A$1:A2463),"")</f>
        <v/>
      </c>
      <c r="B2464" s="126"/>
      <c r="C2464" s="120"/>
      <c r="D2464" s="189"/>
      <c r="E2464" s="172" t="s">
        <v>1005</v>
      </c>
      <c r="F2464" s="123"/>
      <c r="G2464" s="184"/>
      <c r="H2464" s="125"/>
      <c r="I2464" s="126"/>
      <c r="J2464" s="23"/>
      <c r="K2464" s="207"/>
      <c r="L2464" s="160"/>
    </row>
    <row r="2465" spans="1:12" s="35" customFormat="1" x14ac:dyDescent="0.2">
      <c r="A2465" s="129">
        <f ca="1">IF(F2465&lt;&gt;"",1+MAX($A$1:A2464),"")</f>
        <v>224</v>
      </c>
      <c r="B2465" s="126" t="s">
        <v>807</v>
      </c>
      <c r="C2465" s="208" t="s">
        <v>302</v>
      </c>
      <c r="D2465" s="189"/>
      <c r="E2465" s="172" t="s">
        <v>1006</v>
      </c>
      <c r="F2465" s="123">
        <v>6.33</v>
      </c>
      <c r="G2465" s="124">
        <v>0.1</v>
      </c>
      <c r="H2465" s="125">
        <f t="shared" ref="H2465:H2468" si="479">F2465*(1+G2465)</f>
        <v>6.963000000000001</v>
      </c>
      <c r="I2465" s="126" t="s">
        <v>15</v>
      </c>
      <c r="J2465" s="37">
        <v>0</v>
      </c>
      <c r="K2465" s="159">
        <f t="shared" ref="K2465:K2468" si="480">J2465*H2465</f>
        <v>0</v>
      </c>
      <c r="L2465" s="160"/>
    </row>
    <row r="2466" spans="1:12" s="35" customFormat="1" x14ac:dyDescent="0.2">
      <c r="A2466" s="129">
        <f ca="1">IF(F2466&lt;&gt;"",1+MAX($A$1:A2465),"")</f>
        <v>225</v>
      </c>
      <c r="B2466" s="126" t="s">
        <v>807</v>
      </c>
      <c r="C2466" s="208" t="s">
        <v>302</v>
      </c>
      <c r="D2466" s="189"/>
      <c r="E2466" s="122" t="s">
        <v>464</v>
      </c>
      <c r="F2466" s="123">
        <f>2*4*F2465/27</f>
        <v>1.8755555555555556</v>
      </c>
      <c r="G2466" s="124">
        <v>0.1</v>
      </c>
      <c r="H2466" s="125">
        <f t="shared" si="479"/>
        <v>2.0631111111111116</v>
      </c>
      <c r="I2466" s="126" t="s">
        <v>461</v>
      </c>
      <c r="J2466" s="37">
        <f>J$274</f>
        <v>0</v>
      </c>
      <c r="K2466" s="159">
        <f t="shared" si="480"/>
        <v>0</v>
      </c>
      <c r="L2466" s="160"/>
    </row>
    <row r="2467" spans="1:12" s="35" customFormat="1" x14ac:dyDescent="0.2">
      <c r="A2467" s="129">
        <f ca="1">IF(F2467&lt;&gt;"",1+MAX($A$1:A2466),"")</f>
        <v>226</v>
      </c>
      <c r="B2467" s="126" t="s">
        <v>807</v>
      </c>
      <c r="C2467" s="208" t="s">
        <v>302</v>
      </c>
      <c r="D2467" s="189"/>
      <c r="E2467" s="122" t="s">
        <v>969</v>
      </c>
      <c r="F2467" s="123">
        <f>2*1.17*F2465/27-3.14*0.34*0.34*0.25*F2465/27</f>
        <v>0.52732510444444447</v>
      </c>
      <c r="G2467" s="124">
        <v>0.1</v>
      </c>
      <c r="H2467" s="125">
        <f t="shared" si="479"/>
        <v>0.58005761488888896</v>
      </c>
      <c r="I2467" s="126" t="s">
        <v>461</v>
      </c>
      <c r="J2467" s="37">
        <f>J$124</f>
        <v>0</v>
      </c>
      <c r="K2467" s="159">
        <f t="shared" si="480"/>
        <v>0</v>
      </c>
      <c r="L2467" s="160"/>
    </row>
    <row r="2468" spans="1:12" s="35" customFormat="1" x14ac:dyDescent="0.2">
      <c r="A2468" s="129">
        <f ca="1">IF(F2468&lt;&gt;"",1+MAX($A$1:A2467),"")</f>
        <v>227</v>
      </c>
      <c r="B2468" s="126" t="s">
        <v>807</v>
      </c>
      <c r="C2468" s="208" t="s">
        <v>302</v>
      </c>
      <c r="D2468" s="189"/>
      <c r="E2468" s="122" t="s">
        <v>465</v>
      </c>
      <c r="F2468" s="123">
        <f>F2466-F2467-3.14*0.34*0.34*0.25*F2465/27</f>
        <v>1.3269555555555557</v>
      </c>
      <c r="G2468" s="124">
        <v>0.1</v>
      </c>
      <c r="H2468" s="125">
        <f t="shared" si="479"/>
        <v>1.4596511111111115</v>
      </c>
      <c r="I2468" s="126" t="s">
        <v>461</v>
      </c>
      <c r="J2468" s="37">
        <f>J$275</f>
        <v>0</v>
      </c>
      <c r="K2468" s="159">
        <f t="shared" si="480"/>
        <v>0</v>
      </c>
      <c r="L2468" s="160"/>
    </row>
    <row r="2469" spans="1:12" s="21" customFormat="1" x14ac:dyDescent="0.2">
      <c r="A2469" s="129" t="str">
        <f>IF(F2469&lt;&gt;"",1+MAX($A$1:A2468),"")</f>
        <v/>
      </c>
      <c r="B2469" s="126"/>
      <c r="C2469" s="120"/>
      <c r="D2469" s="189"/>
      <c r="E2469" s="172"/>
      <c r="F2469" s="123"/>
      <c r="G2469" s="184"/>
      <c r="H2469" s="125"/>
      <c r="I2469" s="126"/>
      <c r="J2469" s="23"/>
      <c r="K2469" s="207"/>
      <c r="L2469" s="160"/>
    </row>
    <row r="2470" spans="1:12" s="35" customFormat="1" x14ac:dyDescent="0.2">
      <c r="A2470" s="129">
        <f ca="1">IF(F2470&lt;&gt;"",1+MAX($A$1:A2469),"")</f>
        <v>228</v>
      </c>
      <c r="B2470" s="126" t="s">
        <v>807</v>
      </c>
      <c r="C2470" s="208" t="s">
        <v>302</v>
      </c>
      <c r="D2470" s="189"/>
      <c r="E2470" s="172" t="s">
        <v>1007</v>
      </c>
      <c r="F2470" s="123">
        <v>162.62</v>
      </c>
      <c r="G2470" s="124">
        <v>0.1</v>
      </c>
      <c r="H2470" s="125">
        <f t="shared" ref="H2470:H2473" si="481">F2470*(1+G2470)</f>
        <v>178.88200000000003</v>
      </c>
      <c r="I2470" s="126" t="s">
        <v>15</v>
      </c>
      <c r="J2470" s="37">
        <v>0</v>
      </c>
      <c r="K2470" s="159">
        <f t="shared" ref="K2470:K2473" si="482">J2470*H2470</f>
        <v>0</v>
      </c>
      <c r="L2470" s="160"/>
    </row>
    <row r="2471" spans="1:12" s="35" customFormat="1" x14ac:dyDescent="0.2">
      <c r="A2471" s="129">
        <f ca="1">IF(F2471&lt;&gt;"",1+MAX($A$1:A2470),"")</f>
        <v>229</v>
      </c>
      <c r="B2471" s="126" t="s">
        <v>807</v>
      </c>
      <c r="C2471" s="208" t="s">
        <v>302</v>
      </c>
      <c r="D2471" s="189"/>
      <c r="E2471" s="122" t="s">
        <v>464</v>
      </c>
      <c r="F2471" s="123">
        <f>1.5*3*F2470/27</f>
        <v>27.103333333333332</v>
      </c>
      <c r="G2471" s="124">
        <v>0.1</v>
      </c>
      <c r="H2471" s="125">
        <f t="shared" si="481"/>
        <v>29.813666666666666</v>
      </c>
      <c r="I2471" s="126" t="s">
        <v>461</v>
      </c>
      <c r="J2471" s="37">
        <f>J$274</f>
        <v>0</v>
      </c>
      <c r="K2471" s="159">
        <f t="shared" si="482"/>
        <v>0</v>
      </c>
      <c r="L2471" s="160"/>
    </row>
    <row r="2472" spans="1:12" s="35" customFormat="1" x14ac:dyDescent="0.2">
      <c r="A2472" s="129">
        <f ca="1">IF(F2472&lt;&gt;"",1+MAX($A$1:A2471),"")</f>
        <v>230</v>
      </c>
      <c r="B2472" s="126" t="s">
        <v>807</v>
      </c>
      <c r="C2472" s="208" t="s">
        <v>302</v>
      </c>
      <c r="D2472" s="189"/>
      <c r="E2472" s="122" t="s">
        <v>969</v>
      </c>
      <c r="F2472" s="123">
        <f>1.5*1*F2470/27-3.14*0.08*0.08*0.25*F2470/27</f>
        <v>9.0041850785185193</v>
      </c>
      <c r="G2472" s="124">
        <v>0.1</v>
      </c>
      <c r="H2472" s="125">
        <f t="shared" si="481"/>
        <v>9.9046035863703725</v>
      </c>
      <c r="I2472" s="126" t="s">
        <v>461</v>
      </c>
      <c r="J2472" s="37">
        <f>J$124</f>
        <v>0</v>
      </c>
      <c r="K2472" s="159">
        <f t="shared" si="482"/>
        <v>0</v>
      </c>
      <c r="L2472" s="160"/>
    </row>
    <row r="2473" spans="1:12" s="35" customFormat="1" x14ac:dyDescent="0.2">
      <c r="A2473" s="129">
        <f ca="1">IF(F2473&lt;&gt;"",1+MAX($A$1:A2472),"")</f>
        <v>231</v>
      </c>
      <c r="B2473" s="126" t="s">
        <v>807</v>
      </c>
      <c r="C2473" s="208" t="s">
        <v>302</v>
      </c>
      <c r="D2473" s="189"/>
      <c r="E2473" s="122" t="s">
        <v>465</v>
      </c>
      <c r="F2473" s="123">
        <f>F2471-F2472-3.14*0.08*0.08*0.25*F2470/27</f>
        <v>18.068888888888889</v>
      </c>
      <c r="G2473" s="124">
        <v>0.1</v>
      </c>
      <c r="H2473" s="125">
        <f t="shared" si="481"/>
        <v>19.875777777777781</v>
      </c>
      <c r="I2473" s="126" t="s">
        <v>461</v>
      </c>
      <c r="J2473" s="37">
        <f>J$275</f>
        <v>0</v>
      </c>
      <c r="K2473" s="159">
        <f t="shared" si="482"/>
        <v>0</v>
      </c>
      <c r="L2473" s="160"/>
    </row>
    <row r="2474" spans="1:12" s="21" customFormat="1" x14ac:dyDescent="0.2">
      <c r="A2474" s="129" t="str">
        <f>IF(F2474&lt;&gt;"",1+MAX($A$1:A2473),"")</f>
        <v/>
      </c>
      <c r="B2474" s="126"/>
      <c r="C2474" s="120"/>
      <c r="D2474" s="189"/>
      <c r="E2474" s="172"/>
      <c r="F2474" s="123"/>
      <c r="G2474" s="184"/>
      <c r="H2474" s="125"/>
      <c r="I2474" s="126"/>
      <c r="J2474" s="23"/>
      <c r="K2474" s="207"/>
      <c r="L2474" s="160"/>
    </row>
    <row r="2475" spans="1:12" s="35" customFormat="1" x14ac:dyDescent="0.2">
      <c r="A2475" s="129">
        <f ca="1">IF(F2475&lt;&gt;"",1+MAX($A$1:A2474),"")</f>
        <v>232</v>
      </c>
      <c r="B2475" s="126" t="s">
        <v>807</v>
      </c>
      <c r="C2475" s="208" t="s">
        <v>302</v>
      </c>
      <c r="D2475" s="189"/>
      <c r="E2475" s="172" t="s">
        <v>1008</v>
      </c>
      <c r="F2475" s="123">
        <v>479.86</v>
      </c>
      <c r="G2475" s="124">
        <v>0.1</v>
      </c>
      <c r="H2475" s="125">
        <f t="shared" ref="H2475:H2478" si="483">F2475*(1+G2475)</f>
        <v>527.846</v>
      </c>
      <c r="I2475" s="126" t="s">
        <v>15</v>
      </c>
      <c r="J2475" s="37">
        <v>0</v>
      </c>
      <c r="K2475" s="159">
        <f t="shared" ref="K2475:K2478" si="484">J2475*H2475</f>
        <v>0</v>
      </c>
      <c r="L2475" s="160"/>
    </row>
    <row r="2476" spans="1:12" s="35" customFormat="1" x14ac:dyDescent="0.2">
      <c r="A2476" s="129">
        <f ca="1">IF(F2476&lt;&gt;"",1+MAX($A$1:A2475),"")</f>
        <v>233</v>
      </c>
      <c r="B2476" s="126" t="s">
        <v>807</v>
      </c>
      <c r="C2476" s="208" t="s">
        <v>302</v>
      </c>
      <c r="D2476" s="189"/>
      <c r="E2476" s="122" t="s">
        <v>464</v>
      </c>
      <c r="F2476" s="123">
        <f>2.5*5*F2475/27</f>
        <v>222.15740740740742</v>
      </c>
      <c r="G2476" s="124">
        <v>0.1</v>
      </c>
      <c r="H2476" s="125">
        <f t="shared" si="483"/>
        <v>244.37314814814818</v>
      </c>
      <c r="I2476" s="126" t="s">
        <v>461</v>
      </c>
      <c r="J2476" s="37">
        <f>J$274</f>
        <v>0</v>
      </c>
      <c r="K2476" s="159">
        <f t="shared" si="484"/>
        <v>0</v>
      </c>
      <c r="L2476" s="160"/>
    </row>
    <row r="2477" spans="1:12" s="35" customFormat="1" x14ac:dyDescent="0.2">
      <c r="A2477" s="129">
        <f ca="1">IF(F2477&lt;&gt;"",1+MAX($A$1:A2476),"")</f>
        <v>234</v>
      </c>
      <c r="B2477" s="126" t="s">
        <v>807</v>
      </c>
      <c r="C2477" s="208" t="s">
        <v>302</v>
      </c>
      <c r="D2477" s="189"/>
      <c r="E2477" s="122" t="s">
        <v>969</v>
      </c>
      <c r="F2477" s="123">
        <f>2.5*2*F2475/27-3.14*1*1*0.25*F2475/27</f>
        <v>74.911477777777776</v>
      </c>
      <c r="G2477" s="124">
        <v>0.1</v>
      </c>
      <c r="H2477" s="125">
        <f t="shared" si="483"/>
        <v>82.402625555555559</v>
      </c>
      <c r="I2477" s="126" t="s">
        <v>461</v>
      </c>
      <c r="J2477" s="37">
        <f>J$124</f>
        <v>0</v>
      </c>
      <c r="K2477" s="159">
        <f t="shared" si="484"/>
        <v>0</v>
      </c>
      <c r="L2477" s="160"/>
    </row>
    <row r="2478" spans="1:12" s="35" customFormat="1" x14ac:dyDescent="0.2">
      <c r="A2478" s="129">
        <f ca="1">IF(F2478&lt;&gt;"",1+MAX($A$1:A2477),"")</f>
        <v>235</v>
      </c>
      <c r="B2478" s="126" t="s">
        <v>807</v>
      </c>
      <c r="C2478" s="208" t="s">
        <v>302</v>
      </c>
      <c r="D2478" s="189"/>
      <c r="E2478" s="122" t="s">
        <v>465</v>
      </c>
      <c r="F2478" s="123">
        <f>F2476-F2477-3.14*1*1*0.25*F2475/27</f>
        <v>133.29444444444445</v>
      </c>
      <c r="G2478" s="124">
        <v>0.1</v>
      </c>
      <c r="H2478" s="125">
        <f t="shared" si="483"/>
        <v>146.6238888888889</v>
      </c>
      <c r="I2478" s="126" t="s">
        <v>461</v>
      </c>
      <c r="J2478" s="37">
        <f>J$275</f>
        <v>0</v>
      </c>
      <c r="K2478" s="159">
        <f t="shared" si="484"/>
        <v>0</v>
      </c>
      <c r="L2478" s="160"/>
    </row>
    <row r="2479" spans="1:12" s="21" customFormat="1" x14ac:dyDescent="0.2">
      <c r="A2479" s="129" t="str">
        <f>IF(F2479&lt;&gt;"",1+MAX($A$1:A2478),"")</f>
        <v/>
      </c>
      <c r="B2479" s="126"/>
      <c r="C2479" s="120"/>
      <c r="D2479" s="189"/>
      <c r="E2479" s="172"/>
      <c r="F2479" s="123"/>
      <c r="G2479" s="184"/>
      <c r="H2479" s="125"/>
      <c r="I2479" s="126"/>
      <c r="J2479" s="23"/>
      <c r="K2479" s="207"/>
      <c r="L2479" s="160"/>
    </row>
    <row r="2480" spans="1:12" s="35" customFormat="1" x14ac:dyDescent="0.2">
      <c r="A2480" s="129">
        <f ca="1">IF(F2480&lt;&gt;"",1+MAX($A$1:A2479),"")</f>
        <v>236</v>
      </c>
      <c r="B2480" s="126" t="s">
        <v>807</v>
      </c>
      <c r="C2480" s="208" t="s">
        <v>302</v>
      </c>
      <c r="D2480" s="189"/>
      <c r="E2480" s="172" t="s">
        <v>1009</v>
      </c>
      <c r="F2480" s="123">
        <f>77.97+19.58</f>
        <v>97.55</v>
      </c>
      <c r="G2480" s="124">
        <v>0.1</v>
      </c>
      <c r="H2480" s="125">
        <f t="shared" ref="H2480:H2483" si="485">F2480*(1+G2480)</f>
        <v>107.30500000000001</v>
      </c>
      <c r="I2480" s="126" t="s">
        <v>15</v>
      </c>
      <c r="J2480" s="37">
        <v>0</v>
      </c>
      <c r="K2480" s="159">
        <f t="shared" ref="K2480:K2483" si="486">J2480*H2480</f>
        <v>0</v>
      </c>
      <c r="L2480" s="160"/>
    </row>
    <row r="2481" spans="1:12" s="35" customFormat="1" x14ac:dyDescent="0.2">
      <c r="A2481" s="129">
        <f ca="1">IF(F2481&lt;&gt;"",1+MAX($A$1:A2480),"")</f>
        <v>237</v>
      </c>
      <c r="B2481" s="126" t="s">
        <v>807</v>
      </c>
      <c r="C2481" s="208" t="s">
        <v>302</v>
      </c>
      <c r="D2481" s="189"/>
      <c r="E2481" s="122" t="s">
        <v>464</v>
      </c>
      <c r="F2481" s="123">
        <f>2*4*F2480/27</f>
        <v>28.903703703703702</v>
      </c>
      <c r="G2481" s="124">
        <v>0.1</v>
      </c>
      <c r="H2481" s="125">
        <f t="shared" si="485"/>
        <v>31.794074074074075</v>
      </c>
      <c r="I2481" s="126" t="s">
        <v>461</v>
      </c>
      <c r="J2481" s="37">
        <f>J$274</f>
        <v>0</v>
      </c>
      <c r="K2481" s="159">
        <f t="shared" si="486"/>
        <v>0</v>
      </c>
      <c r="L2481" s="160"/>
    </row>
    <row r="2482" spans="1:12" s="35" customFormat="1" x14ac:dyDescent="0.2">
      <c r="A2482" s="129">
        <f ca="1">IF(F2482&lt;&gt;"",1+MAX($A$1:A2481),"")</f>
        <v>238</v>
      </c>
      <c r="B2482" s="126" t="s">
        <v>807</v>
      </c>
      <c r="C2482" s="208" t="s">
        <v>302</v>
      </c>
      <c r="D2482" s="189"/>
      <c r="E2482" s="122" t="s">
        <v>969</v>
      </c>
      <c r="F2482" s="123">
        <f>2*1.34*F2480/27-3.14*0.5*0.5*0.25*F2480/27</f>
        <v>8.9736967592592602</v>
      </c>
      <c r="G2482" s="124">
        <v>0.1</v>
      </c>
      <c r="H2482" s="125">
        <f t="shared" si="485"/>
        <v>9.8710664351851864</v>
      </c>
      <c r="I2482" s="126" t="s">
        <v>461</v>
      </c>
      <c r="J2482" s="37">
        <f>J$124</f>
        <v>0</v>
      </c>
      <c r="K2482" s="159">
        <f t="shared" si="486"/>
        <v>0</v>
      </c>
      <c r="L2482" s="160"/>
    </row>
    <row r="2483" spans="1:12" s="35" customFormat="1" x14ac:dyDescent="0.2">
      <c r="A2483" s="129">
        <f ca="1">IF(F2483&lt;&gt;"",1+MAX($A$1:A2482),"")</f>
        <v>239</v>
      </c>
      <c r="B2483" s="126" t="s">
        <v>807</v>
      </c>
      <c r="C2483" s="208" t="s">
        <v>302</v>
      </c>
      <c r="D2483" s="189"/>
      <c r="E2483" s="122" t="s">
        <v>465</v>
      </c>
      <c r="F2483" s="123">
        <f>F2481-F2482-3.14*0.5*0.5*0.25*F2480/27</f>
        <v>19.220962962962961</v>
      </c>
      <c r="G2483" s="124">
        <v>0.1</v>
      </c>
      <c r="H2483" s="125">
        <f t="shared" si="485"/>
        <v>21.14305925925926</v>
      </c>
      <c r="I2483" s="126" t="s">
        <v>461</v>
      </c>
      <c r="J2483" s="37">
        <f>J$275</f>
        <v>0</v>
      </c>
      <c r="K2483" s="159">
        <f t="shared" si="486"/>
        <v>0</v>
      </c>
      <c r="L2483" s="160"/>
    </row>
    <row r="2484" spans="1:12" s="21" customFormat="1" x14ac:dyDescent="0.2">
      <c r="A2484" s="129" t="str">
        <f>IF(F2484&lt;&gt;"",1+MAX($A$1:A2483),"")</f>
        <v/>
      </c>
      <c r="B2484" s="126"/>
      <c r="C2484" s="120"/>
      <c r="D2484" s="189"/>
      <c r="E2484" s="172"/>
      <c r="F2484" s="123"/>
      <c r="G2484" s="184"/>
      <c r="H2484" s="125"/>
      <c r="I2484" s="126"/>
      <c r="J2484" s="23"/>
      <c r="K2484" s="207"/>
      <c r="L2484" s="160"/>
    </row>
    <row r="2485" spans="1:12" s="35" customFormat="1" ht="31.5" x14ac:dyDescent="0.2">
      <c r="A2485" s="129">
        <f ca="1">IF(F2485&lt;&gt;"",1+MAX($A$1:A2484),"")</f>
        <v>240</v>
      </c>
      <c r="B2485" s="126" t="s">
        <v>1010</v>
      </c>
      <c r="C2485" s="208" t="s">
        <v>302</v>
      </c>
      <c r="D2485" s="189"/>
      <c r="E2485" s="172" t="s">
        <v>1011</v>
      </c>
      <c r="F2485" s="123">
        <v>18.920000000000002</v>
      </c>
      <c r="G2485" s="124">
        <v>0.1</v>
      </c>
      <c r="H2485" s="125">
        <f t="shared" ref="H2485:H2488" si="487">F2485*(1+G2485)</f>
        <v>20.812000000000005</v>
      </c>
      <c r="I2485" s="126" t="s">
        <v>15</v>
      </c>
      <c r="J2485" s="37">
        <v>0</v>
      </c>
      <c r="K2485" s="159">
        <f t="shared" ref="K2485:K2488" si="488">J2485*H2485</f>
        <v>0</v>
      </c>
      <c r="L2485" s="160"/>
    </row>
    <row r="2486" spans="1:12" s="35" customFormat="1" x14ac:dyDescent="0.2">
      <c r="A2486" s="129">
        <f ca="1">IF(F2486&lt;&gt;"",1+MAX($A$1:A2485),"")</f>
        <v>241</v>
      </c>
      <c r="B2486" s="126" t="s">
        <v>1010</v>
      </c>
      <c r="C2486" s="208" t="s">
        <v>302</v>
      </c>
      <c r="D2486" s="189"/>
      <c r="E2486" s="122" t="s">
        <v>464</v>
      </c>
      <c r="F2486" s="123">
        <f>2*4*F2485/27</f>
        <v>5.6059259259259262</v>
      </c>
      <c r="G2486" s="124">
        <v>0.1</v>
      </c>
      <c r="H2486" s="125">
        <f t="shared" si="487"/>
        <v>6.1665185185185196</v>
      </c>
      <c r="I2486" s="126" t="s">
        <v>461</v>
      </c>
      <c r="J2486" s="37">
        <f>J$274</f>
        <v>0</v>
      </c>
      <c r="K2486" s="159">
        <f t="shared" si="488"/>
        <v>0</v>
      </c>
      <c r="L2486" s="160"/>
    </row>
    <row r="2487" spans="1:12" s="35" customFormat="1" x14ac:dyDescent="0.2">
      <c r="A2487" s="129">
        <f ca="1">IF(F2487&lt;&gt;"",1+MAX($A$1:A2486),"")</f>
        <v>242</v>
      </c>
      <c r="B2487" s="126" t="s">
        <v>1010</v>
      </c>
      <c r="C2487" s="208" t="s">
        <v>302</v>
      </c>
      <c r="D2487" s="189"/>
      <c r="E2487" s="122" t="s">
        <v>969</v>
      </c>
      <c r="F2487" s="123">
        <f>2*1.34*F2485/27-3.14*0.5*0.5*0.25*F2485/27</f>
        <v>1.7404648148148152</v>
      </c>
      <c r="G2487" s="124">
        <v>0.1</v>
      </c>
      <c r="H2487" s="125">
        <f t="shared" si="487"/>
        <v>1.9145112962962969</v>
      </c>
      <c r="I2487" s="126" t="s">
        <v>461</v>
      </c>
      <c r="J2487" s="37">
        <f>J$124</f>
        <v>0</v>
      </c>
      <c r="K2487" s="159">
        <f t="shared" si="488"/>
        <v>0</v>
      </c>
      <c r="L2487" s="160"/>
    </row>
    <row r="2488" spans="1:12" s="35" customFormat="1" x14ac:dyDescent="0.2">
      <c r="A2488" s="129">
        <f ca="1">IF(F2488&lt;&gt;"",1+MAX($A$1:A2487),"")</f>
        <v>243</v>
      </c>
      <c r="B2488" s="126" t="s">
        <v>1010</v>
      </c>
      <c r="C2488" s="208" t="s">
        <v>302</v>
      </c>
      <c r="D2488" s="189"/>
      <c r="E2488" s="122" t="s">
        <v>465</v>
      </c>
      <c r="F2488" s="123">
        <f>F2486-F2487-3.14*0.5*0.5*0.25*F2485/27</f>
        <v>3.727940740740741</v>
      </c>
      <c r="G2488" s="124">
        <v>0.1</v>
      </c>
      <c r="H2488" s="125">
        <f t="shared" si="487"/>
        <v>4.1007348148148157</v>
      </c>
      <c r="I2488" s="126" t="s">
        <v>461</v>
      </c>
      <c r="J2488" s="37">
        <f>J$275</f>
        <v>0</v>
      </c>
      <c r="K2488" s="159">
        <f t="shared" si="488"/>
        <v>0</v>
      </c>
      <c r="L2488" s="160"/>
    </row>
    <row r="2489" spans="1:12" s="21" customFormat="1" x14ac:dyDescent="0.2">
      <c r="A2489" s="129" t="str">
        <f>IF(F2489&lt;&gt;"",1+MAX($A$1:A2488),"")</f>
        <v/>
      </c>
      <c r="B2489" s="126"/>
      <c r="C2489" s="120"/>
      <c r="D2489" s="189"/>
      <c r="E2489" s="172"/>
      <c r="F2489" s="123"/>
      <c r="G2489" s="184"/>
      <c r="H2489" s="125"/>
      <c r="I2489" s="126"/>
      <c r="J2489" s="23"/>
      <c r="K2489" s="207"/>
      <c r="L2489" s="160"/>
    </row>
    <row r="2490" spans="1:12" s="35" customFormat="1" x14ac:dyDescent="0.2">
      <c r="A2490" s="129">
        <f ca="1">IF(F2490&lt;&gt;"",1+MAX($A$1:A2489),"")</f>
        <v>244</v>
      </c>
      <c r="B2490" s="126" t="s">
        <v>1010</v>
      </c>
      <c r="C2490" s="208" t="s">
        <v>302</v>
      </c>
      <c r="D2490" s="189"/>
      <c r="E2490" s="172" t="s">
        <v>1012</v>
      </c>
      <c r="F2490" s="123">
        <v>64.790000000000006</v>
      </c>
      <c r="G2490" s="124">
        <v>0.1</v>
      </c>
      <c r="H2490" s="125">
        <f t="shared" ref="H2490:H2493" si="489">F2490*(1+G2490)</f>
        <v>71.26900000000002</v>
      </c>
      <c r="I2490" s="126" t="s">
        <v>15</v>
      </c>
      <c r="J2490" s="37">
        <f>J$396</f>
        <v>0</v>
      </c>
      <c r="K2490" s="159">
        <f t="shared" ref="K2490:K2493" si="490">J2490*H2490</f>
        <v>0</v>
      </c>
      <c r="L2490" s="160"/>
    </row>
    <row r="2491" spans="1:12" s="35" customFormat="1" x14ac:dyDescent="0.2">
      <c r="A2491" s="129">
        <f ca="1">IF(F2491&lt;&gt;"",1+MAX($A$1:A2490),"")</f>
        <v>245</v>
      </c>
      <c r="B2491" s="126" t="s">
        <v>1010</v>
      </c>
      <c r="C2491" s="208" t="s">
        <v>302</v>
      </c>
      <c r="D2491" s="189"/>
      <c r="E2491" s="122" t="s">
        <v>464</v>
      </c>
      <c r="F2491" s="123">
        <f>2*4*F2490/27</f>
        <v>19.197037037037038</v>
      </c>
      <c r="G2491" s="124">
        <v>0.1</v>
      </c>
      <c r="H2491" s="125">
        <f t="shared" si="489"/>
        <v>21.116740740740745</v>
      </c>
      <c r="I2491" s="126" t="s">
        <v>461</v>
      </c>
      <c r="J2491" s="37">
        <f>J$274</f>
        <v>0</v>
      </c>
      <c r="K2491" s="159">
        <f t="shared" si="490"/>
        <v>0</v>
      </c>
      <c r="L2491" s="160"/>
    </row>
    <row r="2492" spans="1:12" s="35" customFormat="1" x14ac:dyDescent="0.2">
      <c r="A2492" s="129">
        <f ca="1">IF(F2492&lt;&gt;"",1+MAX($A$1:A2491),"")</f>
        <v>246</v>
      </c>
      <c r="B2492" s="126" t="s">
        <v>1010</v>
      </c>
      <c r="C2492" s="208" t="s">
        <v>302</v>
      </c>
      <c r="D2492" s="189"/>
      <c r="E2492" s="122" t="s">
        <v>969</v>
      </c>
      <c r="F2492" s="123">
        <f>2*1.34*F2490/27-3.14*0.5*0.5*0.25*F2490/27</f>
        <v>5.9600800925925936</v>
      </c>
      <c r="G2492" s="124">
        <v>0.1</v>
      </c>
      <c r="H2492" s="125">
        <f t="shared" si="489"/>
        <v>6.5560881018518531</v>
      </c>
      <c r="I2492" s="126" t="s">
        <v>461</v>
      </c>
      <c r="J2492" s="37">
        <f>J$124</f>
        <v>0</v>
      </c>
      <c r="K2492" s="159">
        <f t="shared" si="490"/>
        <v>0</v>
      </c>
      <c r="L2492" s="160"/>
    </row>
    <row r="2493" spans="1:12" s="35" customFormat="1" x14ac:dyDescent="0.2">
      <c r="A2493" s="129">
        <f ca="1">IF(F2493&lt;&gt;"",1+MAX($A$1:A2492),"")</f>
        <v>247</v>
      </c>
      <c r="B2493" s="126" t="s">
        <v>1010</v>
      </c>
      <c r="C2493" s="208" t="s">
        <v>302</v>
      </c>
      <c r="D2493" s="189"/>
      <c r="E2493" s="122" t="s">
        <v>465</v>
      </c>
      <c r="F2493" s="123">
        <f>F2491-F2492-3.14*0.5*0.5*0.25*F2490/27</f>
        <v>12.766029629629628</v>
      </c>
      <c r="G2493" s="124">
        <v>0.1</v>
      </c>
      <c r="H2493" s="125">
        <f t="shared" si="489"/>
        <v>14.042632592592591</v>
      </c>
      <c r="I2493" s="126" t="s">
        <v>461</v>
      </c>
      <c r="J2493" s="37">
        <f>J$275</f>
        <v>0</v>
      </c>
      <c r="K2493" s="159">
        <f t="shared" si="490"/>
        <v>0</v>
      </c>
      <c r="L2493" s="160"/>
    </row>
    <row r="2494" spans="1:12" s="21" customFormat="1" x14ac:dyDescent="0.2">
      <c r="A2494" s="129" t="str">
        <f>IF(F2494&lt;&gt;"",1+MAX($A$1:A2493),"")</f>
        <v/>
      </c>
      <c r="B2494" s="126"/>
      <c r="C2494" s="120"/>
      <c r="D2494" s="189"/>
      <c r="E2494" s="292" t="s">
        <v>1013</v>
      </c>
      <c r="F2494" s="123"/>
      <c r="G2494" s="184"/>
      <c r="H2494" s="125"/>
      <c r="I2494" s="126"/>
      <c r="J2494" s="23"/>
      <c r="K2494" s="207"/>
      <c r="L2494" s="160"/>
    </row>
    <row r="2495" spans="1:12" s="21" customFormat="1" x14ac:dyDescent="0.2">
      <c r="A2495" s="129" t="str">
        <f>IF(F2495&lt;&gt;"",1+MAX($A$1:A2494),"")</f>
        <v/>
      </c>
      <c r="B2495" s="126"/>
      <c r="C2495" s="120"/>
      <c r="D2495" s="189"/>
      <c r="E2495" s="172"/>
      <c r="F2495" s="123"/>
      <c r="G2495" s="184"/>
      <c r="H2495" s="125"/>
      <c r="I2495" s="126"/>
      <c r="J2495" s="23"/>
      <c r="K2495" s="207"/>
      <c r="L2495" s="160"/>
    </row>
    <row r="2496" spans="1:12" s="35" customFormat="1" x14ac:dyDescent="0.2">
      <c r="A2496" s="129" t="str">
        <f>IF(F2496&lt;&gt;"",1+MAX($A$1:A2495),"")</f>
        <v/>
      </c>
      <c r="B2496" s="126"/>
      <c r="C2496" s="120"/>
      <c r="D2496" s="120"/>
      <c r="E2496" s="290" t="s">
        <v>987</v>
      </c>
      <c r="F2496" s="123"/>
      <c r="G2496" s="124"/>
      <c r="H2496" s="125"/>
      <c r="I2496" s="126"/>
      <c r="J2496" s="23"/>
      <c r="K2496" s="159"/>
      <c r="L2496" s="160"/>
    </row>
    <row r="2497" spans="1:12" s="35" customFormat="1" x14ac:dyDescent="0.2">
      <c r="A2497" s="129">
        <f ca="1">IF(F2497&lt;&gt;"",1+MAX($A$1:A2496),"")</f>
        <v>248</v>
      </c>
      <c r="B2497" s="126" t="s">
        <v>807</v>
      </c>
      <c r="C2497" s="120"/>
      <c r="D2497" s="189"/>
      <c r="E2497" s="122" t="s">
        <v>1014</v>
      </c>
      <c r="F2497" s="123">
        <v>3</v>
      </c>
      <c r="G2497" s="124">
        <v>0</v>
      </c>
      <c r="H2497" s="125">
        <f t="shared" ref="H2497:H2509" si="491">F2497*(1+G2497)</f>
        <v>3</v>
      </c>
      <c r="I2497" s="126" t="s">
        <v>20</v>
      </c>
      <c r="J2497" s="37">
        <v>0</v>
      </c>
      <c r="K2497" s="159">
        <f t="shared" ref="K2497:K2509" si="492">J2497*H2497</f>
        <v>0</v>
      </c>
      <c r="L2497" s="160"/>
    </row>
    <row r="2498" spans="1:12" s="35" customFormat="1" x14ac:dyDescent="0.2">
      <c r="A2498" s="129">
        <f ca="1">IF(F2498&lt;&gt;"",1+MAX($A$1:A2497),"")</f>
        <v>249</v>
      </c>
      <c r="B2498" s="126" t="s">
        <v>807</v>
      </c>
      <c r="C2498" s="120"/>
      <c r="D2498" s="189"/>
      <c r="E2498" s="122" t="s">
        <v>1015</v>
      </c>
      <c r="F2498" s="123">
        <v>1</v>
      </c>
      <c r="G2498" s="124">
        <v>0</v>
      </c>
      <c r="H2498" s="125">
        <f t="shared" si="491"/>
        <v>1</v>
      </c>
      <c r="I2498" s="126" t="s">
        <v>20</v>
      </c>
      <c r="J2498" s="37">
        <v>0</v>
      </c>
      <c r="K2498" s="159">
        <f t="shared" si="492"/>
        <v>0</v>
      </c>
      <c r="L2498" s="160"/>
    </row>
    <row r="2499" spans="1:12" s="35" customFormat="1" x14ac:dyDescent="0.2">
      <c r="A2499" s="129">
        <f ca="1">IF(F2499&lt;&gt;"",1+MAX($A$1:A2498),"")</f>
        <v>250</v>
      </c>
      <c r="B2499" s="126" t="s">
        <v>807</v>
      </c>
      <c r="C2499" s="120"/>
      <c r="D2499" s="189"/>
      <c r="E2499" s="122" t="s">
        <v>1016</v>
      </c>
      <c r="F2499" s="123">
        <v>1</v>
      </c>
      <c r="G2499" s="124">
        <v>0</v>
      </c>
      <c r="H2499" s="125">
        <f t="shared" si="491"/>
        <v>1</v>
      </c>
      <c r="I2499" s="126" t="s">
        <v>27</v>
      </c>
      <c r="J2499" s="37">
        <v>0</v>
      </c>
      <c r="K2499" s="159">
        <f t="shared" si="492"/>
        <v>0</v>
      </c>
      <c r="L2499" s="160"/>
    </row>
    <row r="2500" spans="1:12" s="35" customFormat="1" x14ac:dyDescent="0.2">
      <c r="A2500" s="129">
        <f ca="1">IF(F2500&lt;&gt;"",1+MAX($A$1:A2499),"")</f>
        <v>251</v>
      </c>
      <c r="B2500" s="126" t="s">
        <v>807</v>
      </c>
      <c r="C2500" s="120"/>
      <c r="D2500" s="189"/>
      <c r="E2500" s="122" t="s">
        <v>1017</v>
      </c>
      <c r="F2500" s="123">
        <v>1</v>
      </c>
      <c r="G2500" s="124">
        <v>0</v>
      </c>
      <c r="H2500" s="125">
        <f t="shared" si="491"/>
        <v>1</v>
      </c>
      <c r="I2500" s="126" t="s">
        <v>20</v>
      </c>
      <c r="J2500" s="37">
        <v>0</v>
      </c>
      <c r="K2500" s="159">
        <f t="shared" si="492"/>
        <v>0</v>
      </c>
      <c r="L2500" s="160"/>
    </row>
    <row r="2501" spans="1:12" s="35" customFormat="1" x14ac:dyDescent="0.2">
      <c r="A2501" s="129">
        <f ca="1">IF(F2501&lt;&gt;"",1+MAX($A$1:A2500),"")</f>
        <v>252</v>
      </c>
      <c r="B2501" s="126" t="s">
        <v>807</v>
      </c>
      <c r="C2501" s="120"/>
      <c r="D2501" s="189"/>
      <c r="E2501" s="122" t="s">
        <v>1018</v>
      </c>
      <c r="F2501" s="123">
        <v>1</v>
      </c>
      <c r="G2501" s="124">
        <v>0</v>
      </c>
      <c r="H2501" s="125">
        <f t="shared" si="491"/>
        <v>1</v>
      </c>
      <c r="I2501" s="126" t="s">
        <v>20</v>
      </c>
      <c r="J2501" s="37">
        <v>0</v>
      </c>
      <c r="K2501" s="159">
        <f t="shared" si="492"/>
        <v>0</v>
      </c>
      <c r="L2501" s="160"/>
    </row>
    <row r="2502" spans="1:12" s="35" customFormat="1" x14ac:dyDescent="0.2">
      <c r="A2502" s="129">
        <f ca="1">IF(F2502&lt;&gt;"",1+MAX($A$1:A2501),"")</f>
        <v>253</v>
      </c>
      <c r="B2502" s="126" t="s">
        <v>807</v>
      </c>
      <c r="C2502" s="120"/>
      <c r="D2502" s="189"/>
      <c r="E2502" s="122" t="s">
        <v>1019</v>
      </c>
      <c r="F2502" s="123">
        <v>1</v>
      </c>
      <c r="G2502" s="124">
        <v>0</v>
      </c>
      <c r="H2502" s="125">
        <f t="shared" si="491"/>
        <v>1</v>
      </c>
      <c r="I2502" s="126" t="s">
        <v>20</v>
      </c>
      <c r="J2502" s="37">
        <v>0</v>
      </c>
      <c r="K2502" s="159">
        <f t="shared" si="492"/>
        <v>0</v>
      </c>
      <c r="L2502" s="160"/>
    </row>
    <row r="2503" spans="1:12" s="35" customFormat="1" x14ac:dyDescent="0.2">
      <c r="A2503" s="129">
        <f ca="1">IF(F2503&lt;&gt;"",1+MAX($A$1:A2502),"")</f>
        <v>254</v>
      </c>
      <c r="B2503" s="126" t="s">
        <v>1010</v>
      </c>
      <c r="C2503" s="120"/>
      <c r="D2503" s="189"/>
      <c r="E2503" s="122" t="s">
        <v>1020</v>
      </c>
      <c r="F2503" s="123">
        <v>1</v>
      </c>
      <c r="G2503" s="124">
        <v>0</v>
      </c>
      <c r="H2503" s="125">
        <f t="shared" si="491"/>
        <v>1</v>
      </c>
      <c r="I2503" s="126" t="s">
        <v>20</v>
      </c>
      <c r="J2503" s="37">
        <v>0</v>
      </c>
      <c r="K2503" s="159">
        <f t="shared" si="492"/>
        <v>0</v>
      </c>
      <c r="L2503" s="160"/>
    </row>
    <row r="2504" spans="1:12" s="35" customFormat="1" x14ac:dyDescent="0.2">
      <c r="A2504" s="129">
        <f ca="1">IF(F2504&lt;&gt;"",1+MAX($A$1:A2503),"")</f>
        <v>255</v>
      </c>
      <c r="B2504" s="126" t="s">
        <v>1010</v>
      </c>
      <c r="C2504" s="120"/>
      <c r="D2504" s="189"/>
      <c r="E2504" s="122" t="s">
        <v>1208</v>
      </c>
      <c r="F2504" s="123">
        <v>1</v>
      </c>
      <c r="G2504" s="124">
        <v>0</v>
      </c>
      <c r="H2504" s="125">
        <f t="shared" si="491"/>
        <v>1</v>
      </c>
      <c r="I2504" s="126" t="s">
        <v>20</v>
      </c>
      <c r="J2504" s="37">
        <v>0</v>
      </c>
      <c r="K2504" s="159">
        <f t="shared" si="492"/>
        <v>0</v>
      </c>
      <c r="L2504" s="160"/>
    </row>
    <row r="2505" spans="1:12" s="35" customFormat="1" ht="31.5" x14ac:dyDescent="0.2">
      <c r="A2505" s="129">
        <f ca="1">IF(F2505&lt;&gt;"",1+MAX($A$1:A2504),"")</f>
        <v>256</v>
      </c>
      <c r="B2505" s="126" t="s">
        <v>1010</v>
      </c>
      <c r="C2505" s="120"/>
      <c r="D2505" s="189"/>
      <c r="E2505" s="122" t="s">
        <v>1021</v>
      </c>
      <c r="F2505" s="123">
        <v>1</v>
      </c>
      <c r="G2505" s="124">
        <v>0</v>
      </c>
      <c r="H2505" s="125">
        <f t="shared" si="491"/>
        <v>1</v>
      </c>
      <c r="I2505" s="126" t="s">
        <v>20</v>
      </c>
      <c r="J2505" s="37">
        <v>0</v>
      </c>
      <c r="K2505" s="159">
        <f t="shared" si="492"/>
        <v>0</v>
      </c>
      <c r="L2505" s="160"/>
    </row>
    <row r="2506" spans="1:12" s="35" customFormat="1" ht="31.5" x14ac:dyDescent="0.2">
      <c r="A2506" s="129">
        <f ca="1">IF(F2506&lt;&gt;"",1+MAX($A$1:A2505),"")</f>
        <v>257</v>
      </c>
      <c r="B2506" s="126" t="s">
        <v>1010</v>
      </c>
      <c r="C2506" s="120"/>
      <c r="D2506" s="189"/>
      <c r="E2506" s="122" t="s">
        <v>1022</v>
      </c>
      <c r="F2506" s="123">
        <v>1</v>
      </c>
      <c r="G2506" s="124">
        <v>0</v>
      </c>
      <c r="H2506" s="125">
        <f t="shared" si="491"/>
        <v>1</v>
      </c>
      <c r="I2506" s="126" t="s">
        <v>20</v>
      </c>
      <c r="J2506" s="37">
        <v>0</v>
      </c>
      <c r="K2506" s="159">
        <f t="shared" si="492"/>
        <v>0</v>
      </c>
      <c r="L2506" s="160"/>
    </row>
    <row r="2507" spans="1:12" s="35" customFormat="1" x14ac:dyDescent="0.2">
      <c r="A2507" s="129">
        <f ca="1">IF(F2507&lt;&gt;"",1+MAX($A$1:A2506),"")</f>
        <v>258</v>
      </c>
      <c r="B2507" s="126" t="s">
        <v>1010</v>
      </c>
      <c r="C2507" s="120"/>
      <c r="D2507" s="189"/>
      <c r="E2507" s="122" t="s">
        <v>1023</v>
      </c>
      <c r="F2507" s="123">
        <v>1</v>
      </c>
      <c r="G2507" s="124">
        <v>0</v>
      </c>
      <c r="H2507" s="125">
        <f t="shared" si="491"/>
        <v>1</v>
      </c>
      <c r="I2507" s="126" t="s">
        <v>20</v>
      </c>
      <c r="J2507" s="37">
        <v>0</v>
      </c>
      <c r="K2507" s="159">
        <f t="shared" si="492"/>
        <v>0</v>
      </c>
      <c r="L2507" s="160"/>
    </row>
    <row r="2508" spans="1:12" s="35" customFormat="1" x14ac:dyDescent="0.2">
      <c r="A2508" s="129">
        <f ca="1">IF(F2508&lt;&gt;"",1+MAX($A$1:A2507),"")</f>
        <v>259</v>
      </c>
      <c r="B2508" s="126" t="s">
        <v>1010</v>
      </c>
      <c r="C2508" s="120"/>
      <c r="D2508" s="189"/>
      <c r="E2508" s="122" t="s">
        <v>1024</v>
      </c>
      <c r="F2508" s="123">
        <v>1</v>
      </c>
      <c r="G2508" s="124">
        <v>0</v>
      </c>
      <c r="H2508" s="125">
        <f t="shared" si="491"/>
        <v>1</v>
      </c>
      <c r="I2508" s="126" t="s">
        <v>20</v>
      </c>
      <c r="J2508" s="37">
        <v>0</v>
      </c>
      <c r="K2508" s="159">
        <f t="shared" si="492"/>
        <v>0</v>
      </c>
      <c r="L2508" s="160"/>
    </row>
    <row r="2509" spans="1:12" s="35" customFormat="1" x14ac:dyDescent="0.2">
      <c r="A2509" s="129">
        <f ca="1">IF(F2509&lt;&gt;"",1+MAX($A$1:A2508),"")</f>
        <v>260</v>
      </c>
      <c r="B2509" s="126" t="s">
        <v>1010</v>
      </c>
      <c r="C2509" s="120"/>
      <c r="D2509" s="189"/>
      <c r="E2509" s="122" t="s">
        <v>1025</v>
      </c>
      <c r="F2509" s="123">
        <v>1</v>
      </c>
      <c r="G2509" s="124">
        <v>0</v>
      </c>
      <c r="H2509" s="125">
        <f t="shared" si="491"/>
        <v>1</v>
      </c>
      <c r="I2509" s="126" t="s">
        <v>20</v>
      </c>
      <c r="J2509" s="37">
        <v>0</v>
      </c>
      <c r="K2509" s="159">
        <f t="shared" si="492"/>
        <v>0</v>
      </c>
      <c r="L2509" s="160"/>
    </row>
    <row r="2510" spans="1:12" s="21" customFormat="1" x14ac:dyDescent="0.2">
      <c r="A2510" s="129" t="str">
        <f>IF(F2510&lt;&gt;"",1+MAX($A$1:A2509),"")</f>
        <v/>
      </c>
      <c r="B2510" s="126"/>
      <c r="C2510" s="120"/>
      <c r="D2510" s="189"/>
      <c r="E2510" s="296"/>
      <c r="F2510" s="125"/>
      <c r="G2510" s="184"/>
      <c r="H2510" s="125"/>
      <c r="I2510" s="126"/>
      <c r="J2510" s="127"/>
      <c r="K2510" s="159"/>
      <c r="L2510" s="212"/>
    </row>
    <row r="2511" spans="1:12" s="21" customFormat="1" x14ac:dyDescent="0.2">
      <c r="A2511" s="129" t="str">
        <f>IF(F2511&lt;&gt;"",1+MAX($A$1:A2510),"")</f>
        <v/>
      </c>
      <c r="B2511" s="120"/>
      <c r="C2511" s="120"/>
      <c r="D2511" s="189"/>
      <c r="E2511" s="190" t="s">
        <v>1026</v>
      </c>
      <c r="F2511" s="123"/>
      <c r="G2511" s="184"/>
      <c r="H2511" s="125"/>
      <c r="I2511" s="126"/>
      <c r="J2511" s="127"/>
      <c r="K2511" s="105"/>
      <c r="L2511" s="11">
        <f>SUM(K2464:K2510)</f>
        <v>0</v>
      </c>
    </row>
    <row r="2512" spans="1:12" s="35" customFormat="1" x14ac:dyDescent="0.2">
      <c r="A2512" s="129" t="str">
        <f>IF(F2512&lt;&gt;"",1+MAX($A$1:A2511),"")</f>
        <v/>
      </c>
      <c r="B2512" s="126"/>
      <c r="C2512" s="120"/>
      <c r="D2512" s="120"/>
      <c r="E2512" s="122"/>
      <c r="F2512" s="123"/>
      <c r="G2512" s="184"/>
      <c r="H2512" s="125"/>
      <c r="I2512" s="126"/>
      <c r="J2512" s="37"/>
      <c r="K2512" s="159"/>
      <c r="L2512" s="160"/>
    </row>
    <row r="2513" spans="1:12" s="21" customFormat="1" x14ac:dyDescent="0.2">
      <c r="A2513" s="129" t="str">
        <f>IF(F2513&lt;&gt;"",1+MAX($A$1:A2512),"")</f>
        <v/>
      </c>
      <c r="B2513" s="126"/>
      <c r="C2513" s="120"/>
      <c r="D2513" s="189"/>
      <c r="E2513" s="172" t="s">
        <v>1027</v>
      </c>
      <c r="F2513" s="123"/>
      <c r="G2513" s="184"/>
      <c r="H2513" s="125"/>
      <c r="I2513" s="126"/>
      <c r="J2513" s="23"/>
      <c r="K2513" s="207"/>
      <c r="L2513" s="160"/>
    </row>
    <row r="2514" spans="1:12" s="35" customFormat="1" x14ac:dyDescent="0.2">
      <c r="A2514" s="129">
        <f ca="1">IF(F2514&lt;&gt;"",1+MAX($A$1:A2513),"")</f>
        <v>261</v>
      </c>
      <c r="B2514" s="126" t="s">
        <v>1028</v>
      </c>
      <c r="C2514" s="208" t="s">
        <v>302</v>
      </c>
      <c r="D2514" s="189"/>
      <c r="E2514" s="172" t="s">
        <v>1029</v>
      </c>
      <c r="F2514" s="123">
        <v>21.15</v>
      </c>
      <c r="G2514" s="124">
        <v>0.1</v>
      </c>
      <c r="H2514" s="125">
        <f t="shared" ref="H2514:H2517" si="493">F2514*(1+G2514)</f>
        <v>23.265000000000001</v>
      </c>
      <c r="I2514" s="126" t="s">
        <v>15</v>
      </c>
      <c r="J2514" s="37">
        <v>0</v>
      </c>
      <c r="K2514" s="159">
        <f t="shared" ref="K2514:K2517" si="494">J2514*H2514</f>
        <v>0</v>
      </c>
      <c r="L2514" s="160"/>
    </row>
    <row r="2515" spans="1:12" s="35" customFormat="1" x14ac:dyDescent="0.2">
      <c r="A2515" s="129">
        <f ca="1">IF(F2515&lt;&gt;"",1+MAX($A$1:A2514),"")</f>
        <v>262</v>
      </c>
      <c r="B2515" s="126" t="s">
        <v>1028</v>
      </c>
      <c r="C2515" s="208" t="s">
        <v>302</v>
      </c>
      <c r="D2515" s="189"/>
      <c r="E2515" s="122" t="s">
        <v>464</v>
      </c>
      <c r="F2515" s="123">
        <f>1.5*3*F2514/27</f>
        <v>3.5249999999999999</v>
      </c>
      <c r="G2515" s="124">
        <v>0.1</v>
      </c>
      <c r="H2515" s="125">
        <f t="shared" si="493"/>
        <v>3.8775000000000004</v>
      </c>
      <c r="I2515" s="126" t="s">
        <v>461</v>
      </c>
      <c r="J2515" s="37">
        <f>J$274</f>
        <v>0</v>
      </c>
      <c r="K2515" s="159">
        <f t="shared" si="494"/>
        <v>0</v>
      </c>
      <c r="L2515" s="160"/>
    </row>
    <row r="2516" spans="1:12" s="35" customFormat="1" x14ac:dyDescent="0.2">
      <c r="A2516" s="129">
        <f ca="1">IF(F2516&lt;&gt;"",1+MAX($A$1:A2515),"")</f>
        <v>263</v>
      </c>
      <c r="B2516" s="126" t="s">
        <v>1028</v>
      </c>
      <c r="C2516" s="208" t="s">
        <v>302</v>
      </c>
      <c r="D2516" s="189"/>
      <c r="E2516" s="122" t="s">
        <v>1030</v>
      </c>
      <c r="F2516" s="123">
        <f>1.5*0.5*F2514/27</f>
        <v>0.58749999999999991</v>
      </c>
      <c r="G2516" s="124">
        <v>0.1</v>
      </c>
      <c r="H2516" s="125">
        <f t="shared" si="493"/>
        <v>0.64624999999999999</v>
      </c>
      <c r="I2516" s="126" t="s">
        <v>461</v>
      </c>
      <c r="J2516" s="37">
        <v>0</v>
      </c>
      <c r="K2516" s="159">
        <f t="shared" si="494"/>
        <v>0</v>
      </c>
      <c r="L2516" s="160"/>
    </row>
    <row r="2517" spans="1:12" s="35" customFormat="1" x14ac:dyDescent="0.2">
      <c r="A2517" s="129">
        <f ca="1">IF(F2517&lt;&gt;"",1+MAX($A$1:A2516),"")</f>
        <v>264</v>
      </c>
      <c r="B2517" s="126" t="s">
        <v>1028</v>
      </c>
      <c r="C2517" s="208" t="s">
        <v>302</v>
      </c>
      <c r="D2517" s="189"/>
      <c r="E2517" s="122" t="s">
        <v>465</v>
      </c>
      <c r="F2517" s="123">
        <f>F2515-F2516</f>
        <v>2.9375</v>
      </c>
      <c r="G2517" s="124">
        <v>0.1</v>
      </c>
      <c r="H2517" s="125">
        <f t="shared" si="493"/>
        <v>3.2312500000000002</v>
      </c>
      <c r="I2517" s="126" t="s">
        <v>461</v>
      </c>
      <c r="J2517" s="37">
        <f>J$275</f>
        <v>0</v>
      </c>
      <c r="K2517" s="159">
        <f t="shared" si="494"/>
        <v>0</v>
      </c>
      <c r="L2517" s="160"/>
    </row>
    <row r="2518" spans="1:12" s="35" customFormat="1" x14ac:dyDescent="0.2">
      <c r="A2518" s="129" t="str">
        <f>IF(F2518&lt;&gt;"",1+MAX($A$1:A2517),"")</f>
        <v/>
      </c>
      <c r="B2518" s="126"/>
      <c r="C2518" s="301"/>
      <c r="D2518" s="189"/>
      <c r="E2518" s="292" t="s">
        <v>1031</v>
      </c>
      <c r="F2518" s="123"/>
      <c r="G2518" s="124"/>
      <c r="H2518" s="125"/>
      <c r="I2518" s="126"/>
      <c r="J2518" s="126"/>
      <c r="K2518" s="159"/>
      <c r="L2518" s="160"/>
    </row>
    <row r="2519" spans="1:12" s="35" customFormat="1" x14ac:dyDescent="0.2">
      <c r="A2519" s="129" t="str">
        <f>IF(F2519&lt;&gt;"",1+MAX($A$1:A2518),"")</f>
        <v/>
      </c>
      <c r="B2519" s="126"/>
      <c r="C2519" s="120"/>
      <c r="D2519" s="120"/>
      <c r="E2519" s="290" t="s">
        <v>987</v>
      </c>
      <c r="F2519" s="123"/>
      <c r="G2519" s="124"/>
      <c r="H2519" s="125"/>
      <c r="I2519" s="126"/>
      <c r="J2519" s="23"/>
      <c r="K2519" s="159"/>
      <c r="L2519" s="160"/>
    </row>
    <row r="2520" spans="1:12" s="35" customFormat="1" x14ac:dyDescent="0.2">
      <c r="A2520" s="129">
        <f ca="1">IF(F2520&lt;&gt;"",1+MAX($A$1:A2519),"")</f>
        <v>265</v>
      </c>
      <c r="B2520" s="126" t="s">
        <v>1028</v>
      </c>
      <c r="C2520" s="120"/>
      <c r="D2520" s="189"/>
      <c r="E2520" s="122" t="s">
        <v>1032</v>
      </c>
      <c r="F2520" s="123">
        <v>1</v>
      </c>
      <c r="G2520" s="124">
        <v>0</v>
      </c>
      <c r="H2520" s="125">
        <f t="shared" ref="H2520:H2523" si="495">F2520*(1+G2520)</f>
        <v>1</v>
      </c>
      <c r="I2520" s="126" t="s">
        <v>20</v>
      </c>
      <c r="J2520" s="37">
        <v>0</v>
      </c>
      <c r="K2520" s="159">
        <f t="shared" ref="K2520:K2523" si="496">J2520*H2520</f>
        <v>0</v>
      </c>
      <c r="L2520" s="160"/>
    </row>
    <row r="2521" spans="1:12" s="35" customFormat="1" ht="31.5" x14ac:dyDescent="0.2">
      <c r="A2521" s="129">
        <f ca="1">IF(F2521&lt;&gt;"",1+MAX($A$1:A2520),"")</f>
        <v>266</v>
      </c>
      <c r="B2521" s="126" t="s">
        <v>1028</v>
      </c>
      <c r="C2521" s="120"/>
      <c r="D2521" s="189"/>
      <c r="E2521" s="122" t="s">
        <v>1033</v>
      </c>
      <c r="F2521" s="123">
        <v>1</v>
      </c>
      <c r="G2521" s="124">
        <v>0</v>
      </c>
      <c r="H2521" s="125">
        <f t="shared" si="495"/>
        <v>1</v>
      </c>
      <c r="I2521" s="126" t="s">
        <v>20</v>
      </c>
      <c r="J2521" s="37">
        <v>0</v>
      </c>
      <c r="K2521" s="159">
        <f t="shared" si="496"/>
        <v>0</v>
      </c>
      <c r="L2521" s="160"/>
    </row>
    <row r="2522" spans="1:12" s="35" customFormat="1" x14ac:dyDescent="0.2">
      <c r="A2522" s="129">
        <f ca="1">IF(F2522&lt;&gt;"",1+MAX($A$1:A2521),"")</f>
        <v>267</v>
      </c>
      <c r="B2522" s="126" t="s">
        <v>1028</v>
      </c>
      <c r="C2522" s="120"/>
      <c r="D2522" s="189"/>
      <c r="E2522" s="122" t="s">
        <v>1034</v>
      </c>
      <c r="F2522" s="123">
        <v>1</v>
      </c>
      <c r="G2522" s="124">
        <v>0</v>
      </c>
      <c r="H2522" s="125">
        <f t="shared" si="495"/>
        <v>1</v>
      </c>
      <c r="I2522" s="126" t="s">
        <v>20</v>
      </c>
      <c r="J2522" s="37">
        <v>0</v>
      </c>
      <c r="K2522" s="159">
        <f t="shared" si="496"/>
        <v>0</v>
      </c>
      <c r="L2522" s="160"/>
    </row>
    <row r="2523" spans="1:12" s="35" customFormat="1" x14ac:dyDescent="0.2">
      <c r="A2523" s="129">
        <f ca="1">IF(F2523&lt;&gt;"",1+MAX($A$1:A2522),"")</f>
        <v>268</v>
      </c>
      <c r="B2523" s="126" t="s">
        <v>1028</v>
      </c>
      <c r="C2523" s="120"/>
      <c r="D2523" s="189"/>
      <c r="E2523" s="122" t="s">
        <v>1035</v>
      </c>
      <c r="F2523" s="123">
        <v>1</v>
      </c>
      <c r="G2523" s="124">
        <v>0</v>
      </c>
      <c r="H2523" s="125">
        <f t="shared" si="495"/>
        <v>1</v>
      </c>
      <c r="I2523" s="126" t="s">
        <v>20</v>
      </c>
      <c r="J2523" s="37">
        <v>0</v>
      </c>
      <c r="K2523" s="159">
        <f t="shared" si="496"/>
        <v>0</v>
      </c>
      <c r="L2523" s="160"/>
    </row>
    <row r="2524" spans="1:12" s="21" customFormat="1" x14ac:dyDescent="0.2">
      <c r="A2524" s="129" t="str">
        <f>IF(F2524&lt;&gt;"",1+MAX($A$1:A2523),"")</f>
        <v/>
      </c>
      <c r="B2524" s="126"/>
      <c r="C2524" s="120"/>
      <c r="D2524" s="189"/>
      <c r="E2524" s="296"/>
      <c r="F2524" s="125"/>
      <c r="G2524" s="184"/>
      <c r="H2524" s="125"/>
      <c r="I2524" s="126"/>
      <c r="J2524" s="127"/>
      <c r="K2524" s="159"/>
      <c r="L2524" s="212"/>
    </row>
    <row r="2525" spans="1:12" s="21" customFormat="1" x14ac:dyDescent="0.2">
      <c r="A2525" s="129" t="str">
        <f>IF(F2525&lt;&gt;"",1+MAX($A$1:A2524),"")</f>
        <v/>
      </c>
      <c r="B2525" s="120"/>
      <c r="C2525" s="120"/>
      <c r="D2525" s="189"/>
      <c r="E2525" s="190" t="s">
        <v>1036</v>
      </c>
      <c r="F2525" s="123"/>
      <c r="G2525" s="184"/>
      <c r="H2525" s="125"/>
      <c r="I2525" s="126"/>
      <c r="J2525" s="127"/>
      <c r="K2525" s="105"/>
      <c r="L2525" s="11">
        <f>SUM(K2513:K2524)</f>
        <v>0</v>
      </c>
    </row>
    <row r="2526" spans="1:12" s="35" customFormat="1" x14ac:dyDescent="0.2">
      <c r="A2526" s="129" t="str">
        <f>IF(F2526&lt;&gt;"",1+MAX($A$1:A2525),"")</f>
        <v/>
      </c>
      <c r="B2526" s="126"/>
      <c r="C2526" s="120"/>
      <c r="D2526" s="120"/>
      <c r="E2526" s="122"/>
      <c r="F2526" s="123"/>
      <c r="G2526" s="184"/>
      <c r="H2526" s="125"/>
      <c r="I2526" s="126"/>
      <c r="J2526" s="37"/>
      <c r="K2526" s="159"/>
      <c r="L2526" s="160"/>
    </row>
    <row r="2527" spans="1:12" s="21" customFormat="1" x14ac:dyDescent="0.2">
      <c r="A2527" s="129" t="str">
        <f>IF(F2527&lt;&gt;"",1+MAX($A$1:A2526),"")</f>
        <v/>
      </c>
      <c r="B2527" s="126"/>
      <c r="C2527" s="120"/>
      <c r="D2527" s="189"/>
      <c r="E2527" s="172" t="s">
        <v>1037</v>
      </c>
      <c r="F2527" s="123"/>
      <c r="G2527" s="184"/>
      <c r="H2527" s="125"/>
      <c r="I2527" s="126"/>
      <c r="J2527" s="23"/>
      <c r="K2527" s="207"/>
      <c r="L2527" s="160"/>
    </row>
    <row r="2528" spans="1:12" s="35" customFormat="1" x14ac:dyDescent="0.2">
      <c r="A2528" s="129">
        <f ca="1">IF(F2528&lt;&gt;"",1+MAX($A$1:A2527),"")</f>
        <v>269</v>
      </c>
      <c r="B2528" s="126" t="s">
        <v>1038</v>
      </c>
      <c r="C2528" s="208" t="s">
        <v>302</v>
      </c>
      <c r="D2528" s="189"/>
      <c r="E2528" s="172" t="s">
        <v>1039</v>
      </c>
      <c r="F2528" s="123">
        <f>2*246.73</f>
        <v>493.46</v>
      </c>
      <c r="G2528" s="124">
        <v>0.1</v>
      </c>
      <c r="H2528" s="125">
        <f t="shared" ref="H2528:H2531" si="497">F2528*(1+G2528)</f>
        <v>542.80600000000004</v>
      </c>
      <c r="I2528" s="126" t="s">
        <v>15</v>
      </c>
      <c r="J2528" s="37">
        <v>0</v>
      </c>
      <c r="K2528" s="159">
        <f t="shared" ref="K2528:K2531" si="498">J2528*H2528</f>
        <v>0</v>
      </c>
      <c r="L2528" s="160"/>
    </row>
    <row r="2529" spans="1:12" s="35" customFormat="1" x14ac:dyDescent="0.2">
      <c r="A2529" s="129">
        <f ca="1">IF(F2529&lt;&gt;"",1+MAX($A$1:A2528),"")</f>
        <v>270</v>
      </c>
      <c r="B2529" s="126" t="s">
        <v>1038</v>
      </c>
      <c r="C2529" s="208" t="s">
        <v>302</v>
      </c>
      <c r="D2529" s="189"/>
      <c r="E2529" s="122" t="s">
        <v>464</v>
      </c>
      <c r="F2529" s="123">
        <f>1.5*3*(F2528/2)/27</f>
        <v>41.121666666666663</v>
      </c>
      <c r="G2529" s="124">
        <v>0.1</v>
      </c>
      <c r="H2529" s="125">
        <f t="shared" si="497"/>
        <v>45.23383333333333</v>
      </c>
      <c r="I2529" s="126" t="s">
        <v>461</v>
      </c>
      <c r="J2529" s="37">
        <f>J$274</f>
        <v>0</v>
      </c>
      <c r="K2529" s="159">
        <f t="shared" si="498"/>
        <v>0</v>
      </c>
      <c r="L2529" s="160"/>
    </row>
    <row r="2530" spans="1:12" s="35" customFormat="1" x14ac:dyDescent="0.2">
      <c r="A2530" s="129">
        <f ca="1">IF(F2530&lt;&gt;"",1+MAX($A$1:A2529),"")</f>
        <v>271</v>
      </c>
      <c r="B2530" s="126" t="s">
        <v>1038</v>
      </c>
      <c r="C2530" s="208" t="s">
        <v>302</v>
      </c>
      <c r="D2530" s="189"/>
      <c r="E2530" s="122" t="s">
        <v>1040</v>
      </c>
      <c r="F2530" s="123">
        <f>1.5*0.67*(F2528/2)/27-3.14*0.17*0.17*0.25*F2528/27</f>
        <v>8.769213692962964</v>
      </c>
      <c r="G2530" s="124">
        <v>0.1</v>
      </c>
      <c r="H2530" s="125">
        <f t="shared" si="497"/>
        <v>9.6461350622592619</v>
      </c>
      <c r="I2530" s="126" t="s">
        <v>461</v>
      </c>
      <c r="J2530" s="37">
        <v>0</v>
      </c>
      <c r="K2530" s="159">
        <f t="shared" si="498"/>
        <v>0</v>
      </c>
      <c r="L2530" s="160"/>
    </row>
    <row r="2531" spans="1:12" s="35" customFormat="1" x14ac:dyDescent="0.2">
      <c r="A2531" s="129">
        <f ca="1">IF(F2531&lt;&gt;"",1+MAX($A$1:A2530),"")</f>
        <v>272</v>
      </c>
      <c r="B2531" s="126" t="s">
        <v>1038</v>
      </c>
      <c r="C2531" s="208" t="s">
        <v>302</v>
      </c>
      <c r="D2531" s="189"/>
      <c r="E2531" s="122" t="s">
        <v>465</v>
      </c>
      <c r="F2531" s="123">
        <f>F2529-F2530--3.14*0.17*0.17*0.25*F2528/27</f>
        <v>32.767078169629627</v>
      </c>
      <c r="G2531" s="124">
        <v>0.1</v>
      </c>
      <c r="H2531" s="125">
        <f t="shared" si="497"/>
        <v>36.043785986592596</v>
      </c>
      <c r="I2531" s="126" t="s">
        <v>461</v>
      </c>
      <c r="J2531" s="37">
        <f>J$275</f>
        <v>0</v>
      </c>
      <c r="K2531" s="159">
        <f t="shared" si="498"/>
        <v>0</v>
      </c>
      <c r="L2531" s="160"/>
    </row>
    <row r="2532" spans="1:12" s="35" customFormat="1" x14ac:dyDescent="0.2">
      <c r="A2532" s="129" t="str">
        <f>IF(F2532&lt;&gt;"",1+MAX($A$1:A2531),"")</f>
        <v/>
      </c>
      <c r="B2532" s="126"/>
      <c r="C2532" s="301"/>
      <c r="D2532" s="189"/>
      <c r="E2532" s="292"/>
      <c r="F2532" s="123"/>
      <c r="G2532" s="124"/>
      <c r="H2532" s="125"/>
      <c r="I2532" s="126"/>
      <c r="J2532" s="126"/>
      <c r="K2532" s="159"/>
      <c r="L2532" s="160"/>
    </row>
    <row r="2533" spans="1:12" s="35" customFormat="1" x14ac:dyDescent="0.2">
      <c r="A2533" s="129">
        <f ca="1">IF(F2533&lt;&gt;"",1+MAX($A$1:A2532),"")</f>
        <v>273</v>
      </c>
      <c r="B2533" s="126" t="s">
        <v>1038</v>
      </c>
      <c r="C2533" s="208" t="s">
        <v>302</v>
      </c>
      <c r="D2533" s="189"/>
      <c r="E2533" s="172" t="s">
        <v>1041</v>
      </c>
      <c r="F2533" s="123">
        <f>5*124.87</f>
        <v>624.35</v>
      </c>
      <c r="G2533" s="124">
        <v>0.1</v>
      </c>
      <c r="H2533" s="125">
        <f t="shared" ref="H2533:H2536" si="499">F2533*(1+G2533)</f>
        <v>686.78500000000008</v>
      </c>
      <c r="I2533" s="126" t="s">
        <v>15</v>
      </c>
      <c r="J2533" s="37">
        <v>0</v>
      </c>
      <c r="K2533" s="159">
        <f t="shared" ref="K2533:K2536" si="500">J2533*H2533</f>
        <v>0</v>
      </c>
      <c r="L2533" s="160"/>
    </row>
    <row r="2534" spans="1:12" s="35" customFormat="1" x14ac:dyDescent="0.2">
      <c r="A2534" s="129">
        <f ca="1">IF(F2534&lt;&gt;"",1+MAX($A$1:A2533),"")</f>
        <v>274</v>
      </c>
      <c r="B2534" s="126" t="s">
        <v>1038</v>
      </c>
      <c r="C2534" s="208" t="s">
        <v>302</v>
      </c>
      <c r="D2534" s="189"/>
      <c r="E2534" s="122" t="s">
        <v>464</v>
      </c>
      <c r="F2534" s="123">
        <f>2*3*(F2533/5)/27</f>
        <v>27.748888888888889</v>
      </c>
      <c r="G2534" s="124">
        <v>0.1</v>
      </c>
      <c r="H2534" s="125">
        <f t="shared" si="499"/>
        <v>30.523777777777781</v>
      </c>
      <c r="I2534" s="126" t="s">
        <v>461</v>
      </c>
      <c r="J2534" s="37">
        <f>J$274</f>
        <v>0</v>
      </c>
      <c r="K2534" s="159">
        <f t="shared" si="500"/>
        <v>0</v>
      </c>
      <c r="L2534" s="160"/>
    </row>
    <row r="2535" spans="1:12" s="35" customFormat="1" x14ac:dyDescent="0.2">
      <c r="A2535" s="129">
        <f ca="1">IF(F2535&lt;&gt;"",1+MAX($A$1:A2534),"")</f>
        <v>275</v>
      </c>
      <c r="B2535" s="126" t="s">
        <v>1038</v>
      </c>
      <c r="C2535" s="208" t="s">
        <v>302</v>
      </c>
      <c r="D2535" s="189"/>
      <c r="E2535" s="122" t="s">
        <v>1040</v>
      </c>
      <c r="F2535" s="123">
        <f>2*1*(F2533/5)/27-3.14*0.42*0.42*0.25*F2533/27</f>
        <v>6.0475465962962982</v>
      </c>
      <c r="G2535" s="124">
        <v>0.1</v>
      </c>
      <c r="H2535" s="125">
        <f t="shared" si="499"/>
        <v>6.6523012559259289</v>
      </c>
      <c r="I2535" s="126" t="s">
        <v>461</v>
      </c>
      <c r="J2535" s="37">
        <f>J$441</f>
        <v>0</v>
      </c>
      <c r="K2535" s="159">
        <f t="shared" si="500"/>
        <v>0</v>
      </c>
      <c r="L2535" s="160"/>
    </row>
    <row r="2536" spans="1:12" s="35" customFormat="1" x14ac:dyDescent="0.2">
      <c r="A2536" s="129">
        <f ca="1">IF(F2536&lt;&gt;"",1+MAX($A$1:A2535),"")</f>
        <v>276</v>
      </c>
      <c r="B2536" s="126" t="s">
        <v>1038</v>
      </c>
      <c r="C2536" s="208" t="s">
        <v>302</v>
      </c>
      <c r="D2536" s="189"/>
      <c r="E2536" s="122" t="s">
        <v>465</v>
      </c>
      <c r="F2536" s="123">
        <f>F2534-F2535--3.14*0.42*0.42*0.25*F2533/27</f>
        <v>24.903425325925927</v>
      </c>
      <c r="G2536" s="124">
        <v>0.1</v>
      </c>
      <c r="H2536" s="125">
        <f t="shared" si="499"/>
        <v>27.393767858518522</v>
      </c>
      <c r="I2536" s="126" t="s">
        <v>461</v>
      </c>
      <c r="J2536" s="37">
        <f>J$275</f>
        <v>0</v>
      </c>
      <c r="K2536" s="159">
        <f t="shared" si="500"/>
        <v>0</v>
      </c>
      <c r="L2536" s="160"/>
    </row>
    <row r="2537" spans="1:12" s="35" customFormat="1" x14ac:dyDescent="0.2">
      <c r="A2537" s="129" t="str">
        <f>IF(F2537&lt;&gt;"",1+MAX($A$1:A2536),"")</f>
        <v/>
      </c>
      <c r="B2537" s="126"/>
      <c r="C2537" s="301"/>
      <c r="D2537" s="189"/>
      <c r="E2537" s="292"/>
      <c r="F2537" s="123"/>
      <c r="G2537" s="124"/>
      <c r="H2537" s="125"/>
      <c r="I2537" s="126"/>
      <c r="J2537" s="126"/>
      <c r="K2537" s="159"/>
      <c r="L2537" s="160"/>
    </row>
    <row r="2538" spans="1:12" s="35" customFormat="1" x14ac:dyDescent="0.2">
      <c r="A2538" s="129">
        <f ca="1">IF(F2538&lt;&gt;"",1+MAX($A$1:A2537),"")</f>
        <v>277</v>
      </c>
      <c r="B2538" s="126" t="s">
        <v>1038</v>
      </c>
      <c r="C2538" s="208" t="s">
        <v>302</v>
      </c>
      <c r="D2538" s="189"/>
      <c r="E2538" s="172" t="s">
        <v>1042</v>
      </c>
      <c r="F2538" s="123">
        <f>30.02*6</f>
        <v>180.12</v>
      </c>
      <c r="G2538" s="124">
        <v>0.1</v>
      </c>
      <c r="H2538" s="125">
        <f t="shared" ref="H2538:H2541" si="501">F2538*(1+G2538)</f>
        <v>198.13200000000003</v>
      </c>
      <c r="I2538" s="126" t="s">
        <v>15</v>
      </c>
      <c r="J2538" s="37">
        <v>0</v>
      </c>
      <c r="K2538" s="159">
        <f t="shared" ref="K2538:K2541" si="502">J2538*H2538</f>
        <v>0</v>
      </c>
      <c r="L2538" s="160"/>
    </row>
    <row r="2539" spans="1:12" s="35" customFormat="1" x14ac:dyDescent="0.2">
      <c r="A2539" s="129">
        <f ca="1">IF(F2539&lt;&gt;"",1+MAX($A$1:A2538),"")</f>
        <v>278</v>
      </c>
      <c r="B2539" s="126" t="s">
        <v>1038</v>
      </c>
      <c r="C2539" s="208" t="s">
        <v>302</v>
      </c>
      <c r="D2539" s="189"/>
      <c r="E2539" s="122" t="s">
        <v>464</v>
      </c>
      <c r="F2539" s="123">
        <f>2*3*(F2538/6)/27</f>
        <v>6.6711111111111112</v>
      </c>
      <c r="G2539" s="124">
        <v>0.1</v>
      </c>
      <c r="H2539" s="125">
        <f t="shared" si="501"/>
        <v>7.3382222222222229</v>
      </c>
      <c r="I2539" s="126" t="s">
        <v>461</v>
      </c>
      <c r="J2539" s="37">
        <f>J$274</f>
        <v>0</v>
      </c>
      <c r="K2539" s="159">
        <f t="shared" si="502"/>
        <v>0</v>
      </c>
      <c r="L2539" s="160"/>
    </row>
    <row r="2540" spans="1:12" s="35" customFormat="1" x14ac:dyDescent="0.2">
      <c r="A2540" s="129">
        <f ca="1">IF(F2540&lt;&gt;"",1+MAX($A$1:A2539),"")</f>
        <v>279</v>
      </c>
      <c r="B2540" s="126" t="s">
        <v>1038</v>
      </c>
      <c r="C2540" s="208" t="s">
        <v>302</v>
      </c>
      <c r="D2540" s="189"/>
      <c r="E2540" s="122" t="s">
        <v>1040</v>
      </c>
      <c r="F2540" s="123">
        <f>2*1*(F2538/6)/27-3.14*0.34*0.34*0.25*F2538/27</f>
        <v>1.6183270548148148</v>
      </c>
      <c r="G2540" s="124">
        <v>0.1</v>
      </c>
      <c r="H2540" s="125">
        <f t="shared" si="501"/>
        <v>1.7801597602962964</v>
      </c>
      <c r="I2540" s="126" t="s">
        <v>461</v>
      </c>
      <c r="J2540" s="37">
        <f>J$441</f>
        <v>0</v>
      </c>
      <c r="K2540" s="159">
        <f t="shared" si="502"/>
        <v>0</v>
      </c>
      <c r="L2540" s="160"/>
    </row>
    <row r="2541" spans="1:12" s="35" customFormat="1" x14ac:dyDescent="0.2">
      <c r="A2541" s="129">
        <f ca="1">IF(F2541&lt;&gt;"",1+MAX($A$1:A2540),"")</f>
        <v>280</v>
      </c>
      <c r="B2541" s="126" t="s">
        <v>1038</v>
      </c>
      <c r="C2541" s="208" t="s">
        <v>302</v>
      </c>
      <c r="D2541" s="189"/>
      <c r="E2541" s="122" t="s">
        <v>465</v>
      </c>
      <c r="F2541" s="123">
        <f>F2539-F2540--3.14*0.34*0.34*0.25*F2538/27</f>
        <v>5.6581607051851854</v>
      </c>
      <c r="G2541" s="124">
        <v>0.1</v>
      </c>
      <c r="H2541" s="125">
        <f t="shared" si="501"/>
        <v>6.2239767757037043</v>
      </c>
      <c r="I2541" s="126" t="s">
        <v>461</v>
      </c>
      <c r="J2541" s="37">
        <f>J$275</f>
        <v>0</v>
      </c>
      <c r="K2541" s="159">
        <f t="shared" si="502"/>
        <v>0</v>
      </c>
      <c r="L2541" s="160"/>
    </row>
    <row r="2542" spans="1:12" s="35" customFormat="1" ht="31.5" x14ac:dyDescent="0.2">
      <c r="A2542" s="129" t="str">
        <f>IF(F2542&lt;&gt;"",1+MAX($A$1:A2541),"")</f>
        <v/>
      </c>
      <c r="B2542" s="126"/>
      <c r="C2542" s="301"/>
      <c r="D2542" s="189"/>
      <c r="E2542" s="292" t="s">
        <v>1043</v>
      </c>
      <c r="F2542" s="123"/>
      <c r="G2542" s="124"/>
      <c r="H2542" s="125"/>
      <c r="I2542" s="126"/>
      <c r="J2542" s="126"/>
      <c r="K2542" s="159"/>
      <c r="L2542" s="160"/>
    </row>
    <row r="2543" spans="1:12" s="21" customFormat="1" x14ac:dyDescent="0.2">
      <c r="A2543" s="129" t="str">
        <f>IF(F2543&lt;&gt;"",1+MAX($A$1:A2542),"")</f>
        <v/>
      </c>
      <c r="B2543" s="126"/>
      <c r="C2543" s="120"/>
      <c r="D2543" s="189"/>
      <c r="E2543" s="172"/>
      <c r="F2543" s="123"/>
      <c r="G2543" s="184"/>
      <c r="H2543" s="125"/>
      <c r="I2543" s="126"/>
      <c r="J2543" s="23"/>
      <c r="K2543" s="207"/>
      <c r="L2543" s="160"/>
    </row>
    <row r="2544" spans="1:12" s="35" customFormat="1" x14ac:dyDescent="0.2">
      <c r="A2544" s="129" t="str">
        <f>IF(F2544&lt;&gt;"",1+MAX($A$1:A2543),"")</f>
        <v/>
      </c>
      <c r="B2544" s="126"/>
      <c r="C2544" s="120"/>
      <c r="D2544" s="120"/>
      <c r="E2544" s="290" t="s">
        <v>987</v>
      </c>
      <c r="F2544" s="123"/>
      <c r="G2544" s="124"/>
      <c r="H2544" s="125"/>
      <c r="I2544" s="126"/>
      <c r="J2544" s="23"/>
      <c r="K2544" s="159"/>
      <c r="L2544" s="160"/>
    </row>
    <row r="2545" spans="1:12" s="35" customFormat="1" x14ac:dyDescent="0.2">
      <c r="A2545" s="129">
        <f ca="1">IF(F2545&lt;&gt;"",1+MAX($A$1:A2544),"")</f>
        <v>281</v>
      </c>
      <c r="B2545" s="126" t="s">
        <v>1038</v>
      </c>
      <c r="C2545" s="120"/>
      <c r="D2545" s="189"/>
      <c r="E2545" s="122" t="s">
        <v>1210</v>
      </c>
      <c r="F2545" s="123">
        <v>1</v>
      </c>
      <c r="G2545" s="124">
        <v>0</v>
      </c>
      <c r="H2545" s="125">
        <f t="shared" ref="H2545:H2550" si="503">F2545*(1+G2545)</f>
        <v>1</v>
      </c>
      <c r="I2545" s="126" t="s">
        <v>20</v>
      </c>
      <c r="J2545" s="37">
        <v>0</v>
      </c>
      <c r="K2545" s="159">
        <f t="shared" ref="K2545:K2550" si="504">J2545*H2545</f>
        <v>0</v>
      </c>
      <c r="L2545" s="160"/>
    </row>
    <row r="2546" spans="1:12" s="35" customFormat="1" x14ac:dyDescent="0.2">
      <c r="A2546" s="129">
        <f ca="1">IF(F2546&lt;&gt;"",1+MAX($A$1:A2545),"")</f>
        <v>282</v>
      </c>
      <c r="B2546" s="126" t="s">
        <v>1038</v>
      </c>
      <c r="C2546" s="120"/>
      <c r="D2546" s="189"/>
      <c r="E2546" s="122" t="s">
        <v>1044</v>
      </c>
      <c r="F2546" s="123">
        <v>1</v>
      </c>
      <c r="G2546" s="124">
        <v>0</v>
      </c>
      <c r="H2546" s="125">
        <f t="shared" si="503"/>
        <v>1</v>
      </c>
      <c r="I2546" s="126" t="s">
        <v>20</v>
      </c>
      <c r="J2546" s="37">
        <v>0</v>
      </c>
      <c r="K2546" s="159">
        <f t="shared" si="504"/>
        <v>0</v>
      </c>
      <c r="L2546" s="160"/>
    </row>
    <row r="2547" spans="1:12" s="35" customFormat="1" x14ac:dyDescent="0.2">
      <c r="A2547" s="129">
        <f ca="1">IF(F2547&lt;&gt;"",1+MAX($A$1:A2546),"")</f>
        <v>283</v>
      </c>
      <c r="B2547" s="126" t="s">
        <v>1038</v>
      </c>
      <c r="C2547" s="120"/>
      <c r="D2547" s="189"/>
      <c r="E2547" s="122" t="s">
        <v>1045</v>
      </c>
      <c r="F2547" s="123">
        <v>1</v>
      </c>
      <c r="G2547" s="124">
        <v>0</v>
      </c>
      <c r="H2547" s="125">
        <f t="shared" si="503"/>
        <v>1</v>
      </c>
      <c r="I2547" s="126" t="s">
        <v>20</v>
      </c>
      <c r="J2547" s="37">
        <v>0</v>
      </c>
      <c r="K2547" s="159">
        <f t="shared" si="504"/>
        <v>0</v>
      </c>
      <c r="L2547" s="160"/>
    </row>
    <row r="2548" spans="1:12" s="35" customFormat="1" x14ac:dyDescent="0.2">
      <c r="A2548" s="129">
        <f ca="1">IF(F2548&lt;&gt;"",1+MAX($A$1:A2547),"")</f>
        <v>284</v>
      </c>
      <c r="B2548" s="126" t="s">
        <v>1038</v>
      </c>
      <c r="C2548" s="120"/>
      <c r="D2548" s="189"/>
      <c r="E2548" s="122" t="s">
        <v>1046</v>
      </c>
      <c r="F2548" s="123">
        <v>1</v>
      </c>
      <c r="G2548" s="124">
        <v>0</v>
      </c>
      <c r="H2548" s="125">
        <f t="shared" si="503"/>
        <v>1</v>
      </c>
      <c r="I2548" s="126" t="s">
        <v>20</v>
      </c>
      <c r="J2548" s="37">
        <v>0</v>
      </c>
      <c r="K2548" s="159">
        <f t="shared" si="504"/>
        <v>0</v>
      </c>
      <c r="L2548" s="160"/>
    </row>
    <row r="2549" spans="1:12" s="35" customFormat="1" x14ac:dyDescent="0.2">
      <c r="A2549" s="129">
        <f ca="1">IF(F2549&lt;&gt;"",1+MAX($A$1:A2548),"")</f>
        <v>285</v>
      </c>
      <c r="B2549" s="126" t="s">
        <v>1038</v>
      </c>
      <c r="C2549" s="120"/>
      <c r="D2549" s="189"/>
      <c r="E2549" s="122" t="s">
        <v>1047</v>
      </c>
      <c r="F2549" s="123">
        <v>5</v>
      </c>
      <c r="G2549" s="124">
        <v>0</v>
      </c>
      <c r="H2549" s="125">
        <f t="shared" si="503"/>
        <v>5</v>
      </c>
      <c r="I2549" s="126" t="s">
        <v>20</v>
      </c>
      <c r="J2549" s="37">
        <v>0</v>
      </c>
      <c r="K2549" s="159">
        <f t="shared" si="504"/>
        <v>0</v>
      </c>
      <c r="L2549" s="160"/>
    </row>
    <row r="2550" spans="1:12" s="35" customFormat="1" x14ac:dyDescent="0.2">
      <c r="A2550" s="129">
        <f ca="1">IF(F2550&lt;&gt;"",1+MAX($A$1:A2549),"")</f>
        <v>286</v>
      </c>
      <c r="B2550" s="126" t="s">
        <v>1038</v>
      </c>
      <c r="C2550" s="120"/>
      <c r="D2550" s="189"/>
      <c r="E2550" s="122" t="s">
        <v>1048</v>
      </c>
      <c r="F2550" s="123">
        <v>1</v>
      </c>
      <c r="G2550" s="124">
        <v>0</v>
      </c>
      <c r="H2550" s="125">
        <f t="shared" si="503"/>
        <v>1</v>
      </c>
      <c r="I2550" s="126" t="s">
        <v>20</v>
      </c>
      <c r="J2550" s="37">
        <v>0</v>
      </c>
      <c r="K2550" s="159">
        <f t="shared" si="504"/>
        <v>0</v>
      </c>
      <c r="L2550" s="160"/>
    </row>
    <row r="2551" spans="1:12" s="21" customFormat="1" x14ac:dyDescent="0.2">
      <c r="A2551" s="129" t="str">
        <f>IF(F2551&lt;&gt;"",1+MAX($A$1:A2550),"")</f>
        <v/>
      </c>
      <c r="B2551" s="126"/>
      <c r="C2551" s="120"/>
      <c r="D2551" s="189"/>
      <c r="E2551" s="296"/>
      <c r="F2551" s="125"/>
      <c r="G2551" s="184"/>
      <c r="H2551" s="125"/>
      <c r="I2551" s="126"/>
      <c r="J2551" s="127"/>
      <c r="K2551" s="159"/>
      <c r="L2551" s="212"/>
    </row>
    <row r="2552" spans="1:12" s="21" customFormat="1" x14ac:dyDescent="0.2">
      <c r="A2552" s="129" t="str">
        <f>IF(F2552&lt;&gt;"",1+MAX($A$1:A2551),"")</f>
        <v/>
      </c>
      <c r="B2552" s="120"/>
      <c r="C2552" s="120"/>
      <c r="D2552" s="189"/>
      <c r="E2552" s="190" t="s">
        <v>1049</v>
      </c>
      <c r="F2552" s="123"/>
      <c r="G2552" s="184"/>
      <c r="H2552" s="125"/>
      <c r="I2552" s="126"/>
      <c r="J2552" s="127"/>
      <c r="K2552" s="105"/>
      <c r="L2552" s="11">
        <f>SUM(K2527:K2551)</f>
        <v>0</v>
      </c>
    </row>
    <row r="2553" spans="1:12" s="21" customFormat="1" x14ac:dyDescent="0.2">
      <c r="A2553" s="129" t="str">
        <f>IF(F2553&lt;&gt;"",1+MAX($A$1:A2552),"")</f>
        <v/>
      </c>
      <c r="B2553" s="126"/>
      <c r="C2553" s="120"/>
      <c r="D2553" s="189"/>
      <c r="E2553" s="172"/>
      <c r="F2553" s="123"/>
      <c r="G2553" s="184"/>
      <c r="H2553" s="125"/>
      <c r="I2553" s="126"/>
      <c r="J2553" s="23"/>
      <c r="K2553" s="207"/>
      <c r="L2553" s="160"/>
    </row>
    <row r="2554" spans="1:12" s="21" customFormat="1" x14ac:dyDescent="0.2">
      <c r="A2554" s="129" t="str">
        <f>IF(F2554&lt;&gt;"",1+MAX($A$1:A2553),"")</f>
        <v/>
      </c>
      <c r="B2554" s="126"/>
      <c r="C2554" s="120"/>
      <c r="D2554" s="189"/>
      <c r="E2554" s="172" t="s">
        <v>1050</v>
      </c>
      <c r="F2554" s="123"/>
      <c r="G2554" s="184"/>
      <c r="H2554" s="125"/>
      <c r="I2554" s="126"/>
      <c r="J2554" s="23"/>
      <c r="K2554" s="207"/>
      <c r="L2554" s="160"/>
    </row>
    <row r="2555" spans="1:12" s="35" customFormat="1" ht="78.75" x14ac:dyDescent="0.2">
      <c r="A2555" s="129">
        <f ca="1">IF(F2555&lt;&gt;"",1+MAX($A$1:A2554),"")</f>
        <v>287</v>
      </c>
      <c r="B2555" s="126" t="s">
        <v>1051</v>
      </c>
      <c r="C2555" s="120" t="s">
        <v>1052</v>
      </c>
      <c r="D2555" s="189"/>
      <c r="E2555" s="122" t="s">
        <v>1053</v>
      </c>
      <c r="F2555" s="123">
        <v>48</v>
      </c>
      <c r="G2555" s="124">
        <v>0.1</v>
      </c>
      <c r="H2555" s="125">
        <f t="shared" ref="H2555:H2561" si="505">F2555*(1+G2555)</f>
        <v>52.800000000000004</v>
      </c>
      <c r="I2555" s="126" t="s">
        <v>15</v>
      </c>
      <c r="J2555" s="37">
        <v>0</v>
      </c>
      <c r="K2555" s="159">
        <f t="shared" ref="K2555:K2561" si="506">J2555*H2555</f>
        <v>0</v>
      </c>
      <c r="L2555" s="160"/>
    </row>
    <row r="2556" spans="1:12" s="35" customFormat="1" ht="157.5" x14ac:dyDescent="0.2">
      <c r="A2556" s="129">
        <f ca="1">IF(F2556&lt;&gt;"",1+MAX($A$1:A2555),"")</f>
        <v>288</v>
      </c>
      <c r="B2556" s="126" t="s">
        <v>841</v>
      </c>
      <c r="C2556" s="120" t="s">
        <v>1054</v>
      </c>
      <c r="D2556" s="189"/>
      <c r="E2556" s="122" t="s">
        <v>1055</v>
      </c>
      <c r="F2556" s="123">
        <v>3</v>
      </c>
      <c r="G2556" s="124">
        <v>0</v>
      </c>
      <c r="H2556" s="125">
        <f t="shared" si="505"/>
        <v>3</v>
      </c>
      <c r="I2556" s="126" t="s">
        <v>20</v>
      </c>
      <c r="J2556" s="37">
        <v>0</v>
      </c>
      <c r="K2556" s="159">
        <f t="shared" si="506"/>
        <v>0</v>
      </c>
      <c r="L2556" s="160"/>
    </row>
    <row r="2557" spans="1:12" s="35" customFormat="1" ht="31.5" x14ac:dyDescent="0.2">
      <c r="A2557" s="129">
        <f ca="1">IF(F2557&lt;&gt;"",1+MAX($A$1:A2556),"")</f>
        <v>289</v>
      </c>
      <c r="B2557" s="126" t="s">
        <v>841</v>
      </c>
      <c r="C2557" s="120"/>
      <c r="D2557" s="189"/>
      <c r="E2557" s="122" t="s">
        <v>1056</v>
      </c>
      <c r="F2557" s="123">
        <f>3.14*1*1*0.25*3*9/27</f>
        <v>0.78500000000000003</v>
      </c>
      <c r="G2557" s="124">
        <v>0.1</v>
      </c>
      <c r="H2557" s="125">
        <f t="shared" si="505"/>
        <v>0.86350000000000016</v>
      </c>
      <c r="I2557" s="126" t="s">
        <v>461</v>
      </c>
      <c r="J2557" s="37">
        <f>J$227</f>
        <v>0</v>
      </c>
      <c r="K2557" s="159">
        <f t="shared" si="506"/>
        <v>0</v>
      </c>
      <c r="L2557" s="160"/>
    </row>
    <row r="2558" spans="1:12" s="35" customFormat="1" x14ac:dyDescent="0.2">
      <c r="A2558" s="129">
        <f ca="1">IF(F2558&lt;&gt;"",1+MAX($A$1:A2557),"")</f>
        <v>290</v>
      </c>
      <c r="B2558" s="126" t="s">
        <v>841</v>
      </c>
      <c r="C2558" s="120"/>
      <c r="D2558" s="189"/>
      <c r="E2558" s="122" t="s">
        <v>1057</v>
      </c>
      <c r="F2558" s="123">
        <f>2*9</f>
        <v>18</v>
      </c>
      <c r="G2558" s="124">
        <v>0</v>
      </c>
      <c r="H2558" s="125">
        <f t="shared" si="505"/>
        <v>18</v>
      </c>
      <c r="I2558" s="126" t="s">
        <v>20</v>
      </c>
      <c r="J2558" s="37">
        <v>0</v>
      </c>
      <c r="K2558" s="159">
        <f t="shared" si="506"/>
        <v>0</v>
      </c>
      <c r="L2558" s="160"/>
    </row>
    <row r="2559" spans="1:12" s="35" customFormat="1" x14ac:dyDescent="0.2">
      <c r="A2559" s="129">
        <f ca="1">IF(F2559&lt;&gt;"",1+MAX($A$1:A2558),"")</f>
        <v>291</v>
      </c>
      <c r="B2559" s="126" t="s">
        <v>841</v>
      </c>
      <c r="C2559" s="120"/>
      <c r="D2559" s="189"/>
      <c r="E2559" s="122" t="s">
        <v>1058</v>
      </c>
      <c r="F2559" s="123">
        <f>3.14*1*3*9</f>
        <v>84.78</v>
      </c>
      <c r="G2559" s="124">
        <v>0.1</v>
      </c>
      <c r="H2559" s="125">
        <f t="shared" si="505"/>
        <v>93.25800000000001</v>
      </c>
      <c r="I2559" s="126" t="s">
        <v>463</v>
      </c>
      <c r="J2559" s="37">
        <v>0</v>
      </c>
      <c r="K2559" s="159">
        <f t="shared" si="506"/>
        <v>0</v>
      </c>
      <c r="L2559" s="160"/>
    </row>
    <row r="2560" spans="1:12" s="35" customFormat="1" x14ac:dyDescent="0.2">
      <c r="A2560" s="129">
        <f ca="1">IF(F2560&lt;&gt;"",1+MAX($A$1:A2559),"")</f>
        <v>292</v>
      </c>
      <c r="B2560" s="126" t="s">
        <v>841</v>
      </c>
      <c r="C2560" s="120"/>
      <c r="D2560" s="189"/>
      <c r="E2560" s="122" t="s">
        <v>464</v>
      </c>
      <c r="F2560" s="123">
        <f>3.14*1.5*1.5*0.25*3.5*9/27</f>
        <v>2.0606249999999999</v>
      </c>
      <c r="G2560" s="124">
        <v>0.1</v>
      </c>
      <c r="H2560" s="125">
        <f t="shared" si="505"/>
        <v>2.2666875000000002</v>
      </c>
      <c r="I2560" s="126" t="s">
        <v>461</v>
      </c>
      <c r="J2560" s="37">
        <f>J$274</f>
        <v>0</v>
      </c>
      <c r="K2560" s="159">
        <f t="shared" si="506"/>
        <v>0</v>
      </c>
      <c r="L2560" s="160"/>
    </row>
    <row r="2561" spans="1:12" s="35" customFormat="1" x14ac:dyDescent="0.2">
      <c r="A2561" s="129">
        <f ca="1">IF(F2561&lt;&gt;"",1+MAX($A$1:A2560),"")</f>
        <v>293</v>
      </c>
      <c r="B2561" s="126" t="s">
        <v>841</v>
      </c>
      <c r="C2561" s="120"/>
      <c r="D2561" s="189"/>
      <c r="E2561" s="122" t="s">
        <v>465</v>
      </c>
      <c r="F2561" s="123">
        <f>F2560-F2557</f>
        <v>1.2756249999999998</v>
      </c>
      <c r="G2561" s="124">
        <v>0.1</v>
      </c>
      <c r="H2561" s="125">
        <f t="shared" si="505"/>
        <v>1.4031874999999998</v>
      </c>
      <c r="I2561" s="126" t="s">
        <v>461</v>
      </c>
      <c r="J2561" s="37">
        <f>J$275</f>
        <v>0</v>
      </c>
      <c r="K2561" s="159">
        <f t="shared" si="506"/>
        <v>0</v>
      </c>
      <c r="L2561" s="160"/>
    </row>
    <row r="2562" spans="1:12" s="21" customFormat="1" x14ac:dyDescent="0.2">
      <c r="A2562" s="129" t="str">
        <f>IF(F2562&lt;&gt;"",1+MAX($A$1:A2561),"")</f>
        <v/>
      </c>
      <c r="B2562" s="126"/>
      <c r="C2562" s="120"/>
      <c r="D2562" s="189"/>
      <c r="E2562" s="296"/>
      <c r="F2562" s="125"/>
      <c r="G2562" s="184"/>
      <c r="H2562" s="125"/>
      <c r="I2562" s="126"/>
      <c r="J2562" s="127"/>
      <c r="K2562" s="159"/>
      <c r="L2562" s="212"/>
    </row>
    <row r="2563" spans="1:12" s="21" customFormat="1" x14ac:dyDescent="0.2">
      <c r="A2563" s="129" t="str">
        <f>IF(F2563&lt;&gt;"",1+MAX($A$1:A2562),"")</f>
        <v/>
      </c>
      <c r="B2563" s="120"/>
      <c r="C2563" s="120"/>
      <c r="D2563" s="189"/>
      <c r="E2563" s="190" t="s">
        <v>1059</v>
      </c>
      <c r="F2563" s="123"/>
      <c r="G2563" s="184"/>
      <c r="H2563" s="125"/>
      <c r="I2563" s="126"/>
      <c r="J2563" s="127"/>
      <c r="K2563" s="105"/>
      <c r="L2563" s="11">
        <f>SUM(K2554:K2562)</f>
        <v>0</v>
      </c>
    </row>
    <row r="2564" spans="1:12" s="21" customFormat="1" x14ac:dyDescent="0.2">
      <c r="A2564" s="129" t="str">
        <f>IF(F2564&lt;&gt;"",1+MAX($A$1:A2563),"")</f>
        <v/>
      </c>
      <c r="B2564" s="126"/>
      <c r="C2564" s="120"/>
      <c r="D2564" s="189"/>
      <c r="E2564" s="172"/>
      <c r="F2564" s="123"/>
      <c r="G2564" s="184"/>
      <c r="H2564" s="125"/>
      <c r="I2564" s="126"/>
      <c r="J2564" s="23"/>
      <c r="K2564" s="207"/>
      <c r="L2564" s="160"/>
    </row>
    <row r="2565" spans="1:12" s="21" customFormat="1" x14ac:dyDescent="0.2">
      <c r="A2565" s="129" t="str">
        <f>IF(F2565&lt;&gt;"",1+MAX($A$1:A2564),"")</f>
        <v/>
      </c>
      <c r="B2565" s="126"/>
      <c r="C2565" s="120"/>
      <c r="D2565" s="120"/>
      <c r="E2565" s="172" t="s">
        <v>1060</v>
      </c>
      <c r="F2565" s="123"/>
      <c r="G2565" s="184"/>
      <c r="H2565" s="125"/>
      <c r="I2565" s="126"/>
      <c r="J2565" s="23"/>
      <c r="K2565" s="207"/>
      <c r="L2565" s="160"/>
    </row>
    <row r="2566" spans="1:12" s="35" customFormat="1" x14ac:dyDescent="0.2">
      <c r="A2566" s="129" t="str">
        <f>IF(F2566&lt;&gt;"",1+MAX($A$1:A2565),"")</f>
        <v/>
      </c>
      <c r="B2566" s="126"/>
      <c r="C2566" s="120"/>
      <c r="D2566" s="120"/>
      <c r="E2566" s="290" t="s">
        <v>1061</v>
      </c>
      <c r="F2566" s="123"/>
      <c r="G2566" s="124"/>
      <c r="H2566" s="125"/>
      <c r="I2566" s="126"/>
      <c r="J2566" s="23"/>
      <c r="K2566" s="159"/>
      <c r="L2566" s="160"/>
    </row>
    <row r="2567" spans="1:12" s="35" customFormat="1" x14ac:dyDescent="0.2">
      <c r="A2567" s="129" t="str">
        <f>IF(F2567&lt;&gt;"",1+MAX($A$1:A2566),"")</f>
        <v/>
      </c>
      <c r="B2567" s="126"/>
      <c r="C2567" s="120"/>
      <c r="D2567" s="120"/>
      <c r="E2567" s="290" t="s">
        <v>1062</v>
      </c>
      <c r="F2567" s="123"/>
      <c r="G2567" s="124"/>
      <c r="H2567" s="125"/>
      <c r="I2567" s="126"/>
      <c r="J2567" s="23"/>
      <c r="K2567" s="159"/>
      <c r="L2567" s="160"/>
    </row>
    <row r="2568" spans="1:12" s="35" customFormat="1" x14ac:dyDescent="0.2">
      <c r="A2568" s="129">
        <f ca="1">IF(F2568&lt;&gt;"",1+MAX($A$1:A2567),"")</f>
        <v>294</v>
      </c>
      <c r="B2568" s="126" t="s">
        <v>1063</v>
      </c>
      <c r="C2568" s="120" t="s">
        <v>899</v>
      </c>
      <c r="D2568" s="189"/>
      <c r="E2568" s="122" t="s">
        <v>1064</v>
      </c>
      <c r="F2568" s="123">
        <f>2895*1.25/27</f>
        <v>134.02777777777777</v>
      </c>
      <c r="G2568" s="124">
        <v>0.1</v>
      </c>
      <c r="H2568" s="125">
        <f t="shared" ref="H2568" si="507">F2568*(1+G2568)</f>
        <v>147.43055555555557</v>
      </c>
      <c r="I2568" s="126" t="s">
        <v>461</v>
      </c>
      <c r="J2568" s="37">
        <f>J$235</f>
        <v>0</v>
      </c>
      <c r="K2568" s="159">
        <f t="shared" ref="K2568" si="508">J2568*H2568</f>
        <v>0</v>
      </c>
      <c r="L2568" s="160"/>
    </row>
    <row r="2569" spans="1:12" s="21" customFormat="1" x14ac:dyDescent="0.2">
      <c r="A2569" s="129" t="str">
        <f>IF(F2569&lt;&gt;"",1+MAX($A$1:A2568),"")</f>
        <v/>
      </c>
      <c r="B2569" s="126"/>
      <c r="C2569" s="120"/>
      <c r="D2569" s="189"/>
      <c r="E2569" s="172"/>
      <c r="F2569" s="123"/>
      <c r="G2569" s="184"/>
      <c r="H2569" s="125"/>
      <c r="I2569" s="126"/>
      <c r="J2569" s="23"/>
      <c r="K2569" s="207"/>
      <c r="L2569" s="160"/>
    </row>
    <row r="2570" spans="1:12" s="35" customFormat="1" x14ac:dyDescent="0.2">
      <c r="A2570" s="129">
        <f ca="1">IF(F2570&lt;&gt;"",1+MAX($A$1:A2569),"")</f>
        <v>295</v>
      </c>
      <c r="B2570" s="126"/>
      <c r="C2570" s="120"/>
      <c r="D2570" s="120"/>
      <c r="E2570" s="290" t="s">
        <v>1065</v>
      </c>
      <c r="F2570" s="123">
        <v>172</v>
      </c>
      <c r="G2570" s="124"/>
      <c r="H2570" s="125"/>
      <c r="I2570" s="126"/>
      <c r="J2570" s="23"/>
      <c r="K2570" s="159"/>
      <c r="L2570" s="160"/>
    </row>
    <row r="2571" spans="1:12" s="35" customFormat="1" x14ac:dyDescent="0.2">
      <c r="A2571" s="129">
        <f ca="1">IF(F2571&lt;&gt;"",1+MAX($A$1:A2570),"")</f>
        <v>296</v>
      </c>
      <c r="B2571" s="126" t="s">
        <v>1066</v>
      </c>
      <c r="C2571" s="120" t="s">
        <v>890</v>
      </c>
      <c r="D2571" s="189"/>
      <c r="E2571" s="122" t="s">
        <v>1067</v>
      </c>
      <c r="F2571" s="123">
        <f>172*0.34/27</f>
        <v>2.1659259259259263</v>
      </c>
      <c r="G2571" s="124">
        <v>0.1</v>
      </c>
      <c r="H2571" s="125">
        <f t="shared" ref="H2571:H2575" si="509">F2571*(1+G2571)</f>
        <v>2.3825185185185189</v>
      </c>
      <c r="I2571" s="126" t="s">
        <v>461</v>
      </c>
      <c r="J2571" s="37">
        <f>J$124</f>
        <v>0</v>
      </c>
      <c r="K2571" s="159">
        <f t="shared" ref="K2571:K2575" si="510">J2571*H2571</f>
        <v>0</v>
      </c>
      <c r="L2571" s="160"/>
    </row>
    <row r="2572" spans="1:12" s="35" customFormat="1" x14ac:dyDescent="0.2">
      <c r="A2572" s="129">
        <f ca="1">IF(F2572&lt;&gt;"",1+MAX($A$1:A2571),"")</f>
        <v>297</v>
      </c>
      <c r="B2572" s="126" t="s">
        <v>1066</v>
      </c>
      <c r="C2572" s="120" t="s">
        <v>890</v>
      </c>
      <c r="D2572" s="189"/>
      <c r="E2572" s="122" t="s">
        <v>1064</v>
      </c>
      <c r="F2572" s="123">
        <f>172*(14/12)/27</f>
        <v>7.4320987654320998</v>
      </c>
      <c r="G2572" s="124">
        <v>0.1</v>
      </c>
      <c r="H2572" s="125">
        <f t="shared" si="509"/>
        <v>8.1753086419753096</v>
      </c>
      <c r="I2572" s="126" t="s">
        <v>461</v>
      </c>
      <c r="J2572" s="37">
        <f>J$235</f>
        <v>0</v>
      </c>
      <c r="K2572" s="159">
        <f t="shared" si="510"/>
        <v>0</v>
      </c>
      <c r="L2572" s="160"/>
    </row>
    <row r="2573" spans="1:12" s="35" customFormat="1" x14ac:dyDescent="0.2">
      <c r="A2573" s="129">
        <f ca="1">IF(F2573&lt;&gt;"",1+MAX($A$1:A2572),"")</f>
        <v>298</v>
      </c>
      <c r="B2573" s="126" t="s">
        <v>1066</v>
      </c>
      <c r="C2573" s="120" t="s">
        <v>890</v>
      </c>
      <c r="D2573" s="189"/>
      <c r="E2573" s="122" t="s">
        <v>1068</v>
      </c>
      <c r="F2573" s="123">
        <f>172*2+121.77*1.5</f>
        <v>526.65499999999997</v>
      </c>
      <c r="G2573" s="124">
        <v>0.1</v>
      </c>
      <c r="H2573" s="125">
        <f t="shared" si="509"/>
        <v>579.32050000000004</v>
      </c>
      <c r="I2573" s="126" t="s">
        <v>18</v>
      </c>
      <c r="J2573" s="37">
        <v>0</v>
      </c>
      <c r="K2573" s="159">
        <f t="shared" si="510"/>
        <v>0</v>
      </c>
      <c r="L2573" s="160"/>
    </row>
    <row r="2574" spans="1:12" s="35" customFormat="1" x14ac:dyDescent="0.2">
      <c r="A2574" s="129">
        <f ca="1">IF(F2574&lt;&gt;"",1+MAX($A$1:A2573),"")</f>
        <v>299</v>
      </c>
      <c r="B2574" s="126" t="s">
        <v>1066</v>
      </c>
      <c r="C2574" s="120" t="s">
        <v>890</v>
      </c>
      <c r="D2574" s="189"/>
      <c r="E2574" s="122" t="s">
        <v>1069</v>
      </c>
      <c r="F2574" s="123">
        <f>172+121.77*1.5</f>
        <v>354.65499999999997</v>
      </c>
      <c r="G2574" s="124">
        <v>0.1</v>
      </c>
      <c r="H2574" s="125">
        <f t="shared" si="509"/>
        <v>390.12049999999999</v>
      </c>
      <c r="I2574" s="126" t="s">
        <v>18</v>
      </c>
      <c r="J2574" s="37">
        <v>0</v>
      </c>
      <c r="K2574" s="159">
        <f t="shared" si="510"/>
        <v>0</v>
      </c>
      <c r="L2574" s="160"/>
    </row>
    <row r="2575" spans="1:12" s="35" customFormat="1" x14ac:dyDescent="0.2">
      <c r="A2575" s="129">
        <f ca="1">IF(F2575&lt;&gt;"",1+MAX($A$1:A2574),"")</f>
        <v>300</v>
      </c>
      <c r="B2575" s="126" t="s">
        <v>1066</v>
      </c>
      <c r="C2575" s="120" t="s">
        <v>890</v>
      </c>
      <c r="D2575" s="189"/>
      <c r="E2575" s="122" t="s">
        <v>1070</v>
      </c>
      <c r="F2575" s="123">
        <v>2</v>
      </c>
      <c r="G2575" s="124">
        <v>0</v>
      </c>
      <c r="H2575" s="125">
        <f t="shared" si="509"/>
        <v>2</v>
      </c>
      <c r="I2575" s="126" t="s">
        <v>20</v>
      </c>
      <c r="J2575" s="37">
        <v>0</v>
      </c>
      <c r="K2575" s="159">
        <f t="shared" si="510"/>
        <v>0</v>
      </c>
      <c r="L2575" s="160"/>
    </row>
    <row r="2576" spans="1:12" s="21" customFormat="1" x14ac:dyDescent="0.2">
      <c r="A2576" s="129" t="str">
        <f>IF(F2576&lt;&gt;"",1+MAX($A$1:A2575),"")</f>
        <v/>
      </c>
      <c r="B2576" s="126"/>
      <c r="C2576" s="120"/>
      <c r="D2576" s="189"/>
      <c r="E2576" s="172"/>
      <c r="F2576" s="123"/>
      <c r="G2576" s="184"/>
      <c r="H2576" s="125"/>
      <c r="I2576" s="126"/>
      <c r="J2576" s="23"/>
      <c r="K2576" s="207"/>
      <c r="L2576" s="160"/>
    </row>
    <row r="2577" spans="1:12" s="35" customFormat="1" x14ac:dyDescent="0.2">
      <c r="A2577" s="129">
        <f ca="1">IF(F2577&lt;&gt;"",1+MAX($A$1:A2576),"")</f>
        <v>301</v>
      </c>
      <c r="B2577" s="126"/>
      <c r="C2577" s="120"/>
      <c r="D2577" s="120"/>
      <c r="E2577" s="290" t="s">
        <v>1071</v>
      </c>
      <c r="F2577" s="123">
        <v>828</v>
      </c>
      <c r="G2577" s="124"/>
      <c r="H2577" s="125"/>
      <c r="I2577" s="126"/>
      <c r="J2577" s="23"/>
      <c r="K2577" s="159"/>
      <c r="L2577" s="160"/>
    </row>
    <row r="2578" spans="1:12" s="35" customFormat="1" x14ac:dyDescent="0.2">
      <c r="A2578" s="129">
        <f ca="1">IF(F2578&lt;&gt;"",1+MAX($A$1:A2577),"")</f>
        <v>302</v>
      </c>
      <c r="B2578" s="126" t="s">
        <v>1072</v>
      </c>
      <c r="C2578" s="120" t="s">
        <v>890</v>
      </c>
      <c r="D2578" s="189"/>
      <c r="E2578" s="122" t="s">
        <v>1067</v>
      </c>
      <c r="F2578" s="123">
        <f>828*0.34/27</f>
        <v>10.426666666666668</v>
      </c>
      <c r="G2578" s="124">
        <v>0.1</v>
      </c>
      <c r="H2578" s="125">
        <f t="shared" ref="H2578:H2582" si="511">F2578*(1+G2578)</f>
        <v>11.469333333333335</v>
      </c>
      <c r="I2578" s="126" t="s">
        <v>461</v>
      </c>
      <c r="J2578" s="37">
        <f>J$124</f>
        <v>0</v>
      </c>
      <c r="K2578" s="159">
        <f t="shared" ref="K2578:K2582" si="512">J2578*H2578</f>
        <v>0</v>
      </c>
      <c r="L2578" s="160"/>
    </row>
    <row r="2579" spans="1:12" s="35" customFormat="1" x14ac:dyDescent="0.2">
      <c r="A2579" s="129">
        <f ca="1">IF(F2579&lt;&gt;"",1+MAX($A$1:A2578),"")</f>
        <v>303</v>
      </c>
      <c r="B2579" s="126" t="s">
        <v>1072</v>
      </c>
      <c r="C2579" s="120" t="s">
        <v>890</v>
      </c>
      <c r="D2579" s="189"/>
      <c r="E2579" s="122" t="s">
        <v>1064</v>
      </c>
      <c r="F2579" s="123">
        <f>828*(22/12)/27</f>
        <v>56.222222222222221</v>
      </c>
      <c r="G2579" s="124">
        <v>0.1</v>
      </c>
      <c r="H2579" s="125">
        <f t="shared" si="511"/>
        <v>61.844444444444449</v>
      </c>
      <c r="I2579" s="126" t="s">
        <v>461</v>
      </c>
      <c r="J2579" s="37">
        <f>J$235</f>
        <v>0</v>
      </c>
      <c r="K2579" s="159">
        <f t="shared" si="512"/>
        <v>0</v>
      </c>
      <c r="L2579" s="160"/>
    </row>
    <row r="2580" spans="1:12" s="35" customFormat="1" x14ac:dyDescent="0.2">
      <c r="A2580" s="129">
        <f ca="1">IF(F2580&lt;&gt;"",1+MAX($A$1:A2579),"")</f>
        <v>304</v>
      </c>
      <c r="B2580" s="126" t="s">
        <v>1072</v>
      </c>
      <c r="C2580" s="120" t="s">
        <v>890</v>
      </c>
      <c r="D2580" s="189"/>
      <c r="E2580" s="122" t="s">
        <v>1068</v>
      </c>
      <c r="F2580" s="123">
        <f>828*2+572.75*(26/12)</f>
        <v>2896.958333333333</v>
      </c>
      <c r="G2580" s="124">
        <v>0.1</v>
      </c>
      <c r="H2580" s="125">
        <f t="shared" si="511"/>
        <v>3186.6541666666667</v>
      </c>
      <c r="I2580" s="126" t="s">
        <v>18</v>
      </c>
      <c r="J2580" s="37">
        <f>J$484</f>
        <v>0</v>
      </c>
      <c r="K2580" s="159">
        <f t="shared" si="512"/>
        <v>0</v>
      </c>
      <c r="L2580" s="160"/>
    </row>
    <row r="2581" spans="1:12" s="35" customFormat="1" x14ac:dyDescent="0.2">
      <c r="A2581" s="129">
        <f ca="1">IF(F2581&lt;&gt;"",1+MAX($A$1:A2580),"")</f>
        <v>305</v>
      </c>
      <c r="B2581" s="126" t="s">
        <v>1072</v>
      </c>
      <c r="C2581" s="120" t="s">
        <v>890</v>
      </c>
      <c r="D2581" s="189"/>
      <c r="E2581" s="122" t="s">
        <v>1069</v>
      </c>
      <c r="F2581" s="123">
        <f>828+572.75*(26/12)</f>
        <v>2068.958333333333</v>
      </c>
      <c r="G2581" s="124">
        <v>0.1</v>
      </c>
      <c r="H2581" s="125">
        <f t="shared" si="511"/>
        <v>2275.8541666666665</v>
      </c>
      <c r="I2581" s="126" t="s">
        <v>18</v>
      </c>
      <c r="J2581" s="37">
        <f>J$485</f>
        <v>0</v>
      </c>
      <c r="K2581" s="159">
        <f t="shared" si="512"/>
        <v>0</v>
      </c>
      <c r="L2581" s="160"/>
    </row>
    <row r="2582" spans="1:12" s="35" customFormat="1" x14ac:dyDescent="0.2">
      <c r="A2582" s="129">
        <f ca="1">IF(F2582&lt;&gt;"",1+MAX($A$1:A2581),"")</f>
        <v>306</v>
      </c>
      <c r="B2582" s="126" t="s">
        <v>1072</v>
      </c>
      <c r="C2582" s="120" t="s">
        <v>890</v>
      </c>
      <c r="D2582" s="189"/>
      <c r="E2582" s="122" t="s">
        <v>1070</v>
      </c>
      <c r="F2582" s="123">
        <v>14</v>
      </c>
      <c r="G2582" s="124">
        <v>0</v>
      </c>
      <c r="H2582" s="125">
        <f t="shared" si="511"/>
        <v>14</v>
      </c>
      <c r="I2582" s="126" t="s">
        <v>20</v>
      </c>
      <c r="J2582" s="37">
        <f>J$486</f>
        <v>0</v>
      </c>
      <c r="K2582" s="159">
        <f t="shared" si="512"/>
        <v>0</v>
      </c>
      <c r="L2582" s="160"/>
    </row>
    <row r="2583" spans="1:12" s="35" customFormat="1" x14ac:dyDescent="0.2">
      <c r="A2583" s="129" t="str">
        <f>IF(F2583&lt;&gt;"",1+MAX($A$1:A2582),"")</f>
        <v/>
      </c>
      <c r="B2583" s="126"/>
      <c r="C2583" s="120"/>
      <c r="D2583" s="189"/>
      <c r="E2583" s="122"/>
      <c r="F2583" s="123"/>
      <c r="G2583" s="124"/>
      <c r="H2583" s="125"/>
      <c r="I2583" s="126"/>
      <c r="J2583" s="37"/>
      <c r="K2583" s="159"/>
      <c r="L2583" s="160"/>
    </row>
    <row r="2584" spans="1:12" s="35" customFormat="1" x14ac:dyDescent="0.2">
      <c r="A2584" s="129">
        <f ca="1">IF(F2584&lt;&gt;"",1+MAX($A$1:A2583),"")</f>
        <v>307</v>
      </c>
      <c r="B2584" s="126"/>
      <c r="C2584" s="120"/>
      <c r="D2584" s="120"/>
      <c r="E2584" s="290" t="s">
        <v>1073</v>
      </c>
      <c r="F2584" s="123">
        <v>305</v>
      </c>
      <c r="G2584" s="124"/>
      <c r="H2584" s="125"/>
      <c r="I2584" s="126"/>
      <c r="J2584" s="23"/>
      <c r="K2584" s="159"/>
      <c r="L2584" s="160"/>
    </row>
    <row r="2585" spans="1:12" s="35" customFormat="1" x14ac:dyDescent="0.2">
      <c r="A2585" s="129">
        <f ca="1">IF(F2585&lt;&gt;"",1+MAX($A$1:A2584),"")</f>
        <v>308</v>
      </c>
      <c r="B2585" s="126" t="s">
        <v>1074</v>
      </c>
      <c r="C2585" s="120" t="s">
        <v>890</v>
      </c>
      <c r="D2585" s="189"/>
      <c r="E2585" s="122" t="s">
        <v>1067</v>
      </c>
      <c r="F2585" s="123">
        <f>305*0.34/27</f>
        <v>3.840740740740741</v>
      </c>
      <c r="G2585" s="124">
        <v>0.1</v>
      </c>
      <c r="H2585" s="125">
        <f t="shared" ref="H2585:H2589" si="513">F2585*(1+G2585)</f>
        <v>4.224814814814815</v>
      </c>
      <c r="I2585" s="126" t="s">
        <v>461</v>
      </c>
      <c r="J2585" s="37">
        <f>J$124</f>
        <v>0</v>
      </c>
      <c r="K2585" s="159">
        <f t="shared" ref="K2585:K2589" si="514">J2585*H2585</f>
        <v>0</v>
      </c>
      <c r="L2585" s="160"/>
    </row>
    <row r="2586" spans="1:12" s="35" customFormat="1" x14ac:dyDescent="0.2">
      <c r="A2586" s="129">
        <f ca="1">IF(F2586&lt;&gt;"",1+MAX($A$1:A2585),"")</f>
        <v>309</v>
      </c>
      <c r="B2586" s="126" t="s">
        <v>1074</v>
      </c>
      <c r="C2586" s="120" t="s">
        <v>890</v>
      </c>
      <c r="D2586" s="189"/>
      <c r="E2586" s="122" t="s">
        <v>1064</v>
      </c>
      <c r="F2586" s="123">
        <f>305*(32/12)/27</f>
        <v>30.123456790123456</v>
      </c>
      <c r="G2586" s="124">
        <v>0.1</v>
      </c>
      <c r="H2586" s="125">
        <f t="shared" si="513"/>
        <v>33.135802469135804</v>
      </c>
      <c r="I2586" s="126" t="s">
        <v>461</v>
      </c>
      <c r="J2586" s="37">
        <f>J$235</f>
        <v>0</v>
      </c>
      <c r="K2586" s="159">
        <f t="shared" si="514"/>
        <v>0</v>
      </c>
      <c r="L2586" s="160"/>
    </row>
    <row r="2587" spans="1:12" s="35" customFormat="1" x14ac:dyDescent="0.2">
      <c r="A2587" s="129">
        <f ca="1">IF(F2587&lt;&gt;"",1+MAX($A$1:A2586),"")</f>
        <v>310</v>
      </c>
      <c r="B2587" s="126" t="s">
        <v>1074</v>
      </c>
      <c r="C2587" s="120" t="s">
        <v>890</v>
      </c>
      <c r="D2587" s="189"/>
      <c r="E2587" s="122" t="s">
        <v>1068</v>
      </c>
      <c r="F2587" s="123">
        <f>305*2+362.38*3</f>
        <v>1697.1399999999999</v>
      </c>
      <c r="G2587" s="124">
        <v>0.1</v>
      </c>
      <c r="H2587" s="125">
        <f t="shared" si="513"/>
        <v>1866.854</v>
      </c>
      <c r="I2587" s="126" t="s">
        <v>18</v>
      </c>
      <c r="J2587" s="37">
        <f>J$484</f>
        <v>0</v>
      </c>
      <c r="K2587" s="159">
        <f t="shared" si="514"/>
        <v>0</v>
      </c>
      <c r="L2587" s="160"/>
    </row>
    <row r="2588" spans="1:12" s="35" customFormat="1" x14ac:dyDescent="0.2">
      <c r="A2588" s="129">
        <f ca="1">IF(F2588&lt;&gt;"",1+MAX($A$1:A2587),"")</f>
        <v>311</v>
      </c>
      <c r="B2588" s="126" t="s">
        <v>1074</v>
      </c>
      <c r="C2588" s="120" t="s">
        <v>890</v>
      </c>
      <c r="D2588" s="189"/>
      <c r="E2588" s="122" t="s">
        <v>1069</v>
      </c>
      <c r="F2588" s="123">
        <f>305+362.38*3</f>
        <v>1392.1399999999999</v>
      </c>
      <c r="G2588" s="124">
        <v>0.1</v>
      </c>
      <c r="H2588" s="125">
        <f t="shared" si="513"/>
        <v>1531.354</v>
      </c>
      <c r="I2588" s="126" t="s">
        <v>18</v>
      </c>
      <c r="J2588" s="37">
        <f>J$485</f>
        <v>0</v>
      </c>
      <c r="K2588" s="159">
        <f t="shared" si="514"/>
        <v>0</v>
      </c>
      <c r="L2588" s="160"/>
    </row>
    <row r="2589" spans="1:12" s="35" customFormat="1" x14ac:dyDescent="0.2">
      <c r="A2589" s="129">
        <f ca="1">IF(F2589&lt;&gt;"",1+MAX($A$1:A2588),"")</f>
        <v>312</v>
      </c>
      <c r="B2589" s="126" t="s">
        <v>1074</v>
      </c>
      <c r="C2589" s="120" t="s">
        <v>890</v>
      </c>
      <c r="D2589" s="189"/>
      <c r="E2589" s="122" t="s">
        <v>1070</v>
      </c>
      <c r="F2589" s="123">
        <v>25</v>
      </c>
      <c r="G2589" s="124">
        <v>0</v>
      </c>
      <c r="H2589" s="125">
        <f t="shared" si="513"/>
        <v>25</v>
      </c>
      <c r="I2589" s="126" t="s">
        <v>20</v>
      </c>
      <c r="J2589" s="37">
        <f>J$486</f>
        <v>0</v>
      </c>
      <c r="K2589" s="159">
        <f t="shared" si="514"/>
        <v>0</v>
      </c>
      <c r="L2589" s="160"/>
    </row>
    <row r="2590" spans="1:12" s="21" customFormat="1" x14ac:dyDescent="0.2">
      <c r="A2590" s="129" t="str">
        <f>IF(F2590&lt;&gt;"",1+MAX($A$1:A2589),"")</f>
        <v/>
      </c>
      <c r="B2590" s="126"/>
      <c r="C2590" s="120"/>
      <c r="D2590" s="189"/>
      <c r="E2590" s="172"/>
      <c r="F2590" s="123"/>
      <c r="G2590" s="184"/>
      <c r="H2590" s="125"/>
      <c r="I2590" s="126"/>
      <c r="J2590" s="23"/>
      <c r="K2590" s="207"/>
      <c r="L2590" s="160"/>
    </row>
    <row r="2591" spans="1:12" s="35" customFormat="1" x14ac:dyDescent="0.2">
      <c r="A2591" s="129">
        <f ca="1">IF(F2591&lt;&gt;"",1+MAX($A$1:A2590),"")</f>
        <v>313</v>
      </c>
      <c r="B2591" s="126"/>
      <c r="C2591" s="120"/>
      <c r="D2591" s="120"/>
      <c r="E2591" s="290" t="s">
        <v>1075</v>
      </c>
      <c r="F2591" s="123">
        <v>579</v>
      </c>
      <c r="G2591" s="124"/>
      <c r="H2591" s="125"/>
      <c r="I2591" s="126"/>
      <c r="J2591" s="23"/>
      <c r="K2591" s="159"/>
      <c r="L2591" s="160"/>
    </row>
    <row r="2592" spans="1:12" s="35" customFormat="1" x14ac:dyDescent="0.2">
      <c r="A2592" s="129">
        <f ca="1">IF(F2592&lt;&gt;"",1+MAX($A$1:A2591),"")</f>
        <v>314</v>
      </c>
      <c r="B2592" s="126" t="s">
        <v>1074</v>
      </c>
      <c r="C2592" s="120" t="s">
        <v>890</v>
      </c>
      <c r="D2592" s="189"/>
      <c r="E2592" s="122" t="s">
        <v>1067</v>
      </c>
      <c r="F2592" s="123">
        <f>579*0.34/27</f>
        <v>7.2911111111111113</v>
      </c>
      <c r="G2592" s="124">
        <v>0.1</v>
      </c>
      <c r="H2592" s="125">
        <f t="shared" ref="H2592:H2596" si="515">F2592*(1+G2592)</f>
        <v>8.0202222222222233</v>
      </c>
      <c r="I2592" s="126" t="s">
        <v>461</v>
      </c>
      <c r="J2592" s="37">
        <f>J$124</f>
        <v>0</v>
      </c>
      <c r="K2592" s="159">
        <f t="shared" ref="K2592:K2596" si="516">J2592*H2592</f>
        <v>0</v>
      </c>
      <c r="L2592" s="160"/>
    </row>
    <row r="2593" spans="1:12" s="35" customFormat="1" x14ac:dyDescent="0.2">
      <c r="A2593" s="129">
        <f ca="1">IF(F2593&lt;&gt;"",1+MAX($A$1:A2592),"")</f>
        <v>315</v>
      </c>
      <c r="B2593" s="126" t="s">
        <v>1074</v>
      </c>
      <c r="C2593" s="120" t="s">
        <v>890</v>
      </c>
      <c r="D2593" s="189"/>
      <c r="E2593" s="122" t="s">
        <v>1064</v>
      </c>
      <c r="F2593" s="123">
        <f>579*(38/12)/27</f>
        <v>67.907407407407405</v>
      </c>
      <c r="G2593" s="124">
        <v>0.1</v>
      </c>
      <c r="H2593" s="125">
        <f t="shared" si="515"/>
        <v>74.69814814814815</v>
      </c>
      <c r="I2593" s="126" t="s">
        <v>461</v>
      </c>
      <c r="J2593" s="37">
        <f>J$235</f>
        <v>0</v>
      </c>
      <c r="K2593" s="159">
        <f t="shared" si="516"/>
        <v>0</v>
      </c>
      <c r="L2593" s="160"/>
    </row>
    <row r="2594" spans="1:12" s="35" customFormat="1" x14ac:dyDescent="0.2">
      <c r="A2594" s="129">
        <f ca="1">IF(F2594&lt;&gt;"",1+MAX($A$1:A2593),"")</f>
        <v>316</v>
      </c>
      <c r="B2594" s="126" t="s">
        <v>1074</v>
      </c>
      <c r="C2594" s="120" t="s">
        <v>890</v>
      </c>
      <c r="D2594" s="189"/>
      <c r="E2594" s="122" t="s">
        <v>1068</v>
      </c>
      <c r="F2594" s="123">
        <f>579*2+328.64*(42/12)</f>
        <v>2308.2399999999998</v>
      </c>
      <c r="G2594" s="124">
        <v>0.1</v>
      </c>
      <c r="H2594" s="125">
        <f t="shared" si="515"/>
        <v>2539.0639999999999</v>
      </c>
      <c r="I2594" s="126" t="s">
        <v>18</v>
      </c>
      <c r="J2594" s="37">
        <f>J$484</f>
        <v>0</v>
      </c>
      <c r="K2594" s="159">
        <f t="shared" si="516"/>
        <v>0</v>
      </c>
      <c r="L2594" s="160"/>
    </row>
    <row r="2595" spans="1:12" s="35" customFormat="1" x14ac:dyDescent="0.2">
      <c r="A2595" s="129">
        <f ca="1">IF(F2595&lt;&gt;"",1+MAX($A$1:A2594),"")</f>
        <v>317</v>
      </c>
      <c r="B2595" s="126" t="s">
        <v>1074</v>
      </c>
      <c r="C2595" s="120" t="s">
        <v>890</v>
      </c>
      <c r="D2595" s="189"/>
      <c r="E2595" s="122" t="s">
        <v>1069</v>
      </c>
      <c r="F2595" s="123">
        <f>579+328.38*(42/12)</f>
        <v>1728.33</v>
      </c>
      <c r="G2595" s="124">
        <v>0.1</v>
      </c>
      <c r="H2595" s="125">
        <f t="shared" si="515"/>
        <v>1901.163</v>
      </c>
      <c r="I2595" s="126" t="s">
        <v>18</v>
      </c>
      <c r="J2595" s="37">
        <f>J$485</f>
        <v>0</v>
      </c>
      <c r="K2595" s="159">
        <f t="shared" si="516"/>
        <v>0</v>
      </c>
      <c r="L2595" s="160"/>
    </row>
    <row r="2596" spans="1:12" s="35" customFormat="1" x14ac:dyDescent="0.2">
      <c r="A2596" s="129">
        <f ca="1">IF(F2596&lt;&gt;"",1+MAX($A$1:A2595),"")</f>
        <v>318</v>
      </c>
      <c r="B2596" s="126" t="s">
        <v>1074</v>
      </c>
      <c r="C2596" s="120" t="s">
        <v>890</v>
      </c>
      <c r="D2596" s="189"/>
      <c r="E2596" s="122" t="s">
        <v>1070</v>
      </c>
      <c r="F2596" s="123">
        <v>8</v>
      </c>
      <c r="G2596" s="124">
        <v>0</v>
      </c>
      <c r="H2596" s="125">
        <f t="shared" si="515"/>
        <v>8</v>
      </c>
      <c r="I2596" s="126" t="s">
        <v>20</v>
      </c>
      <c r="J2596" s="37">
        <f>J$486</f>
        <v>0</v>
      </c>
      <c r="K2596" s="159">
        <f t="shared" si="516"/>
        <v>0</v>
      </c>
      <c r="L2596" s="160"/>
    </row>
    <row r="2597" spans="1:12" s="21" customFormat="1" x14ac:dyDescent="0.2">
      <c r="A2597" s="129" t="str">
        <f>IF(F2597&lt;&gt;"",1+MAX($A$1:A2596),"")</f>
        <v/>
      </c>
      <c r="B2597" s="126"/>
      <c r="C2597" s="120"/>
      <c r="D2597" s="189"/>
      <c r="E2597" s="172"/>
      <c r="F2597" s="123"/>
      <c r="G2597" s="184"/>
      <c r="H2597" s="125"/>
      <c r="I2597" s="126"/>
      <c r="J2597" s="23"/>
      <c r="K2597" s="207"/>
      <c r="L2597" s="160"/>
    </row>
    <row r="2598" spans="1:12" s="35" customFormat="1" x14ac:dyDescent="0.2">
      <c r="A2598" s="129">
        <f ca="1">IF(F2598&lt;&gt;"",1+MAX($A$1:A2597),"")</f>
        <v>319</v>
      </c>
      <c r="B2598" s="126"/>
      <c r="C2598" s="120"/>
      <c r="D2598" s="120"/>
      <c r="E2598" s="290" t="s">
        <v>1076</v>
      </c>
      <c r="F2598" s="123">
        <v>71</v>
      </c>
      <c r="G2598" s="124"/>
      <c r="H2598" s="125"/>
      <c r="I2598" s="126"/>
      <c r="J2598" s="23"/>
      <c r="K2598" s="159"/>
      <c r="L2598" s="160"/>
    </row>
    <row r="2599" spans="1:12" s="35" customFormat="1" x14ac:dyDescent="0.2">
      <c r="A2599" s="129">
        <f ca="1">IF(F2599&lt;&gt;"",1+MAX($A$1:A2598),"")</f>
        <v>320</v>
      </c>
      <c r="B2599" s="126" t="s">
        <v>1074</v>
      </c>
      <c r="C2599" s="120" t="s">
        <v>890</v>
      </c>
      <c r="D2599" s="189"/>
      <c r="E2599" s="122" t="s">
        <v>1067</v>
      </c>
      <c r="F2599" s="123">
        <f>71*0.34/27</f>
        <v>0.89407407407407413</v>
      </c>
      <c r="G2599" s="124">
        <v>0.1</v>
      </c>
      <c r="H2599" s="125">
        <f t="shared" ref="H2599:H2603" si="517">F2599*(1+G2599)</f>
        <v>0.98348148148148162</v>
      </c>
      <c r="I2599" s="126" t="s">
        <v>461</v>
      </c>
      <c r="J2599" s="37">
        <f>J$124</f>
        <v>0</v>
      </c>
      <c r="K2599" s="159">
        <f t="shared" ref="K2599:K2603" si="518">J2599*H2599</f>
        <v>0</v>
      </c>
      <c r="L2599" s="160"/>
    </row>
    <row r="2600" spans="1:12" s="35" customFormat="1" x14ac:dyDescent="0.2">
      <c r="A2600" s="129">
        <f ca="1">IF(F2600&lt;&gt;"",1+MAX($A$1:A2599),"")</f>
        <v>321</v>
      </c>
      <c r="B2600" s="126" t="s">
        <v>1074</v>
      </c>
      <c r="C2600" s="120" t="s">
        <v>890</v>
      </c>
      <c r="D2600" s="189"/>
      <c r="E2600" s="122" t="s">
        <v>1064</v>
      </c>
      <c r="F2600" s="123">
        <f>71*(44/12)/27</f>
        <v>9.6419753086419746</v>
      </c>
      <c r="G2600" s="124">
        <v>0.1</v>
      </c>
      <c r="H2600" s="125">
        <f t="shared" si="517"/>
        <v>10.606172839506172</v>
      </c>
      <c r="I2600" s="126" t="s">
        <v>461</v>
      </c>
      <c r="J2600" s="37">
        <f>J$235</f>
        <v>0</v>
      </c>
      <c r="K2600" s="159">
        <f t="shared" si="518"/>
        <v>0</v>
      </c>
      <c r="L2600" s="160"/>
    </row>
    <row r="2601" spans="1:12" s="35" customFormat="1" x14ac:dyDescent="0.2">
      <c r="A2601" s="129">
        <f ca="1">IF(F2601&lt;&gt;"",1+MAX($A$1:A2600),"")</f>
        <v>322</v>
      </c>
      <c r="B2601" s="126" t="s">
        <v>1074</v>
      </c>
      <c r="C2601" s="120" t="s">
        <v>890</v>
      </c>
      <c r="D2601" s="189"/>
      <c r="E2601" s="122" t="s">
        <v>1068</v>
      </c>
      <c r="F2601" s="123">
        <f>71*2+70.68*4</f>
        <v>424.72</v>
      </c>
      <c r="G2601" s="124">
        <v>0.1</v>
      </c>
      <c r="H2601" s="125">
        <f t="shared" si="517"/>
        <v>467.19200000000006</v>
      </c>
      <c r="I2601" s="126" t="s">
        <v>18</v>
      </c>
      <c r="J2601" s="37">
        <f>J$484</f>
        <v>0</v>
      </c>
      <c r="K2601" s="159">
        <f t="shared" si="518"/>
        <v>0</v>
      </c>
      <c r="L2601" s="160"/>
    </row>
    <row r="2602" spans="1:12" s="35" customFormat="1" x14ac:dyDescent="0.2">
      <c r="A2602" s="129">
        <f ca="1">IF(F2602&lt;&gt;"",1+MAX($A$1:A2601),"")</f>
        <v>323</v>
      </c>
      <c r="B2602" s="126" t="s">
        <v>1074</v>
      </c>
      <c r="C2602" s="120" t="s">
        <v>890</v>
      </c>
      <c r="D2602" s="189"/>
      <c r="E2602" s="122" t="s">
        <v>1069</v>
      </c>
      <c r="F2602" s="123">
        <f>71+70.68*4</f>
        <v>353.72</v>
      </c>
      <c r="G2602" s="124">
        <v>0.1</v>
      </c>
      <c r="H2602" s="125">
        <f t="shared" si="517"/>
        <v>389.09200000000004</v>
      </c>
      <c r="I2602" s="126" t="s">
        <v>18</v>
      </c>
      <c r="J2602" s="37">
        <f>J$485</f>
        <v>0</v>
      </c>
      <c r="K2602" s="159">
        <f t="shared" si="518"/>
        <v>0</v>
      </c>
      <c r="L2602" s="160"/>
    </row>
    <row r="2603" spans="1:12" s="35" customFormat="1" x14ac:dyDescent="0.2">
      <c r="A2603" s="129">
        <f ca="1">IF(F2603&lt;&gt;"",1+MAX($A$1:A2602),"")</f>
        <v>324</v>
      </c>
      <c r="B2603" s="126" t="s">
        <v>1074</v>
      </c>
      <c r="C2603" s="120" t="s">
        <v>890</v>
      </c>
      <c r="D2603" s="189"/>
      <c r="E2603" s="122" t="s">
        <v>1070</v>
      </c>
      <c r="F2603" s="123">
        <v>4</v>
      </c>
      <c r="G2603" s="124">
        <v>0</v>
      </c>
      <c r="H2603" s="125">
        <f t="shared" si="517"/>
        <v>4</v>
      </c>
      <c r="I2603" s="126" t="s">
        <v>20</v>
      </c>
      <c r="J2603" s="37">
        <f>J$486</f>
        <v>0</v>
      </c>
      <c r="K2603" s="159">
        <f t="shared" si="518"/>
        <v>0</v>
      </c>
      <c r="L2603" s="160"/>
    </row>
    <row r="2604" spans="1:12" s="21" customFormat="1" x14ac:dyDescent="0.2">
      <c r="A2604" s="129" t="str">
        <f>IF(F2604&lt;&gt;"",1+MAX($A$1:A2603),"")</f>
        <v/>
      </c>
      <c r="B2604" s="126"/>
      <c r="C2604" s="120"/>
      <c r="D2604" s="189"/>
      <c r="E2604" s="172"/>
      <c r="F2604" s="123"/>
      <c r="G2604" s="184"/>
      <c r="H2604" s="125"/>
      <c r="I2604" s="126"/>
      <c r="J2604" s="23"/>
      <c r="K2604" s="207"/>
      <c r="L2604" s="160"/>
    </row>
    <row r="2605" spans="1:12" s="35" customFormat="1" x14ac:dyDescent="0.2">
      <c r="A2605" s="129" t="str">
        <f>IF(F2605&lt;&gt;"",1+MAX($A$1:A2604),"")</f>
        <v/>
      </c>
      <c r="B2605" s="126"/>
      <c r="C2605" s="120"/>
      <c r="D2605" s="120"/>
      <c r="E2605" s="290" t="s">
        <v>1077</v>
      </c>
      <c r="F2605" s="123"/>
      <c r="G2605" s="124"/>
      <c r="H2605" s="125"/>
      <c r="I2605" s="126"/>
      <c r="J2605" s="23"/>
      <c r="K2605" s="159"/>
      <c r="L2605" s="160"/>
    </row>
    <row r="2606" spans="1:12" s="21" customFormat="1" ht="31.5" x14ac:dyDescent="0.2">
      <c r="A2606" s="129">
        <f ca="1">IF(F2606&lt;&gt;"",1+MAX($A$1:A2605),"")</f>
        <v>325</v>
      </c>
      <c r="B2606" s="126" t="s">
        <v>1078</v>
      </c>
      <c r="C2606" s="120" t="s">
        <v>1079</v>
      </c>
      <c r="D2606" s="120"/>
      <c r="E2606" s="122" t="s">
        <v>1080</v>
      </c>
      <c r="F2606" s="123">
        <v>3</v>
      </c>
      <c r="G2606" s="124">
        <v>0</v>
      </c>
      <c r="H2606" s="125">
        <f t="shared" ref="H2606:H2613" si="519">F2606*(1+G2606)</f>
        <v>3</v>
      </c>
      <c r="I2606" s="126" t="s">
        <v>20</v>
      </c>
      <c r="J2606" s="37">
        <v>0</v>
      </c>
      <c r="K2606" s="159">
        <f t="shared" ref="K2606:K2613" si="520">J2606*H2606</f>
        <v>0</v>
      </c>
      <c r="L2606" s="160"/>
    </row>
    <row r="2607" spans="1:12" s="21" customFormat="1" ht="31.5" x14ac:dyDescent="0.2">
      <c r="A2607" s="129">
        <f ca="1">IF(F2607&lt;&gt;"",1+MAX($A$1:A2606),"")</f>
        <v>326</v>
      </c>
      <c r="B2607" s="126" t="s">
        <v>1078</v>
      </c>
      <c r="C2607" s="120" t="s">
        <v>1079</v>
      </c>
      <c r="D2607" s="120"/>
      <c r="E2607" s="122" t="s">
        <v>1081</v>
      </c>
      <c r="F2607" s="123">
        <v>7</v>
      </c>
      <c r="G2607" s="124">
        <v>0</v>
      </c>
      <c r="H2607" s="125">
        <f t="shared" si="519"/>
        <v>7</v>
      </c>
      <c r="I2607" s="126" t="s">
        <v>20</v>
      </c>
      <c r="J2607" s="37">
        <v>0</v>
      </c>
      <c r="K2607" s="159">
        <f t="shared" si="520"/>
        <v>0</v>
      </c>
      <c r="L2607" s="160"/>
    </row>
    <row r="2608" spans="1:12" s="21" customFormat="1" ht="31.5" x14ac:dyDescent="0.2">
      <c r="A2608" s="129">
        <f ca="1">IF(F2608&lt;&gt;"",1+MAX($A$1:A2607),"")</f>
        <v>327</v>
      </c>
      <c r="B2608" s="126" t="s">
        <v>1078</v>
      </c>
      <c r="C2608" s="120" t="s">
        <v>1079</v>
      </c>
      <c r="D2608" s="120"/>
      <c r="E2608" s="122" t="s">
        <v>1082</v>
      </c>
      <c r="F2608" s="123">
        <v>1</v>
      </c>
      <c r="G2608" s="124">
        <v>0</v>
      </c>
      <c r="H2608" s="125">
        <f t="shared" si="519"/>
        <v>1</v>
      </c>
      <c r="I2608" s="126" t="s">
        <v>20</v>
      </c>
      <c r="J2608" s="37">
        <v>0</v>
      </c>
      <c r="K2608" s="159">
        <f t="shared" si="520"/>
        <v>0</v>
      </c>
      <c r="L2608" s="160"/>
    </row>
    <row r="2609" spans="1:12" s="21" customFormat="1" ht="31.5" x14ac:dyDescent="0.2">
      <c r="A2609" s="129">
        <f ca="1">IF(F2609&lt;&gt;"",1+MAX($A$1:A2608),"")</f>
        <v>328</v>
      </c>
      <c r="B2609" s="126" t="s">
        <v>1078</v>
      </c>
      <c r="C2609" s="120" t="s">
        <v>1079</v>
      </c>
      <c r="D2609" s="120"/>
      <c r="E2609" s="122" t="s">
        <v>1083</v>
      </c>
      <c r="F2609" s="123">
        <v>1</v>
      </c>
      <c r="G2609" s="124">
        <v>0</v>
      </c>
      <c r="H2609" s="125">
        <f t="shared" si="519"/>
        <v>1</v>
      </c>
      <c r="I2609" s="126" t="s">
        <v>20</v>
      </c>
      <c r="J2609" s="37">
        <v>0</v>
      </c>
      <c r="K2609" s="159">
        <f t="shared" si="520"/>
        <v>0</v>
      </c>
      <c r="L2609" s="160"/>
    </row>
    <row r="2610" spans="1:12" s="21" customFormat="1" ht="31.5" x14ac:dyDescent="0.2">
      <c r="A2610" s="129">
        <f ca="1">IF(F2610&lt;&gt;"",1+MAX($A$1:A2609),"")</f>
        <v>329</v>
      </c>
      <c r="B2610" s="126" t="s">
        <v>1078</v>
      </c>
      <c r="C2610" s="120" t="s">
        <v>1079</v>
      </c>
      <c r="D2610" s="120"/>
      <c r="E2610" s="122" t="s">
        <v>1084</v>
      </c>
      <c r="F2610" s="123">
        <v>1</v>
      </c>
      <c r="G2610" s="124">
        <v>0</v>
      </c>
      <c r="H2610" s="125">
        <f t="shared" si="519"/>
        <v>1</v>
      </c>
      <c r="I2610" s="126" t="s">
        <v>20</v>
      </c>
      <c r="J2610" s="37">
        <v>0</v>
      </c>
      <c r="K2610" s="159">
        <f t="shared" si="520"/>
        <v>0</v>
      </c>
      <c r="L2610" s="160"/>
    </row>
    <row r="2611" spans="1:12" s="21" customFormat="1" ht="31.5" x14ac:dyDescent="0.2">
      <c r="A2611" s="129">
        <f ca="1">IF(F2611&lt;&gt;"",1+MAX($A$1:A2610),"")</f>
        <v>330</v>
      </c>
      <c r="B2611" s="126" t="s">
        <v>1078</v>
      </c>
      <c r="C2611" s="120" t="s">
        <v>1079</v>
      </c>
      <c r="D2611" s="120"/>
      <c r="E2611" s="122" t="s">
        <v>1085</v>
      </c>
      <c r="F2611" s="123">
        <v>4</v>
      </c>
      <c r="G2611" s="124">
        <v>0</v>
      </c>
      <c r="H2611" s="125">
        <f t="shared" si="519"/>
        <v>4</v>
      </c>
      <c r="I2611" s="126" t="s">
        <v>20</v>
      </c>
      <c r="J2611" s="37">
        <v>0</v>
      </c>
      <c r="K2611" s="159">
        <f t="shared" si="520"/>
        <v>0</v>
      </c>
      <c r="L2611" s="160"/>
    </row>
    <row r="2612" spans="1:12" s="21" customFormat="1" ht="31.5" x14ac:dyDescent="0.2">
      <c r="A2612" s="129">
        <f ca="1">IF(F2612&lt;&gt;"",1+MAX($A$1:A2611),"")</f>
        <v>331</v>
      </c>
      <c r="B2612" s="126" t="s">
        <v>1078</v>
      </c>
      <c r="C2612" s="120" t="s">
        <v>1079</v>
      </c>
      <c r="D2612" s="120"/>
      <c r="E2612" s="122" t="s">
        <v>1086</v>
      </c>
      <c r="F2612" s="123">
        <v>6</v>
      </c>
      <c r="G2612" s="124">
        <v>0</v>
      </c>
      <c r="H2612" s="125">
        <f t="shared" si="519"/>
        <v>6</v>
      </c>
      <c r="I2612" s="126" t="s">
        <v>20</v>
      </c>
      <c r="J2612" s="37">
        <v>0</v>
      </c>
      <c r="K2612" s="159">
        <f t="shared" si="520"/>
        <v>0</v>
      </c>
      <c r="L2612" s="160"/>
    </row>
    <row r="2613" spans="1:12" s="21" customFormat="1" x14ac:dyDescent="0.2">
      <c r="A2613" s="129">
        <f ca="1">IF(F2613&lt;&gt;"",1+MAX($A$1:A2612),"")</f>
        <v>332</v>
      </c>
      <c r="B2613" s="126" t="s">
        <v>1078</v>
      </c>
      <c r="C2613" s="120" t="s">
        <v>1079</v>
      </c>
      <c r="D2613" s="120"/>
      <c r="E2613" s="122" t="s">
        <v>1087</v>
      </c>
      <c r="F2613" s="123">
        <v>2</v>
      </c>
      <c r="G2613" s="124">
        <v>0</v>
      </c>
      <c r="H2613" s="125">
        <f t="shared" si="519"/>
        <v>2</v>
      </c>
      <c r="I2613" s="126" t="s">
        <v>20</v>
      </c>
      <c r="J2613" s="37">
        <v>0</v>
      </c>
      <c r="K2613" s="159">
        <f t="shared" si="520"/>
        <v>0</v>
      </c>
      <c r="L2613" s="160"/>
    </row>
    <row r="2614" spans="1:12" s="35" customFormat="1" x14ac:dyDescent="0.2">
      <c r="A2614" s="129" t="str">
        <f>IF(F2614&lt;&gt;"",1+MAX($A$1:A2613),"")</f>
        <v/>
      </c>
      <c r="B2614" s="126"/>
      <c r="C2614" s="120"/>
      <c r="D2614" s="120"/>
      <c r="E2614" s="122"/>
      <c r="F2614" s="123"/>
      <c r="G2614" s="124"/>
      <c r="H2614" s="125"/>
      <c r="I2614" s="126"/>
      <c r="J2614" s="293"/>
      <c r="K2614" s="159"/>
      <c r="L2614" s="160"/>
    </row>
    <row r="2615" spans="1:12" s="35" customFormat="1" x14ac:dyDescent="0.2">
      <c r="A2615" s="129" t="str">
        <f>IF(F2615&lt;&gt;"",1+MAX($A$1:A2614),"")</f>
        <v/>
      </c>
      <c r="B2615" s="126"/>
      <c r="C2615" s="120"/>
      <c r="D2615" s="120"/>
      <c r="E2615" s="290" t="s">
        <v>1088</v>
      </c>
      <c r="F2615" s="123"/>
      <c r="G2615" s="124"/>
      <c r="H2615" s="125"/>
      <c r="I2615" s="126"/>
      <c r="J2615" s="293"/>
      <c r="K2615" s="159"/>
      <c r="L2615" s="160"/>
    </row>
    <row r="2616" spans="1:12" s="21" customFormat="1" ht="31.5" x14ac:dyDescent="0.2">
      <c r="A2616" s="129">
        <f ca="1">IF(F2616&lt;&gt;"",1+MAX($A$1:A2615),"")</f>
        <v>333</v>
      </c>
      <c r="B2616" s="126" t="s">
        <v>1078</v>
      </c>
      <c r="C2616" s="120" t="s">
        <v>1079</v>
      </c>
      <c r="D2616" s="120"/>
      <c r="E2616" s="122" t="s">
        <v>1089</v>
      </c>
      <c r="F2616" s="123">
        <v>25</v>
      </c>
      <c r="G2616" s="124">
        <v>0</v>
      </c>
      <c r="H2616" s="125">
        <f t="shared" ref="H2616:H2629" si="521">F2616*(1+G2616)</f>
        <v>25</v>
      </c>
      <c r="I2616" s="126" t="s">
        <v>20</v>
      </c>
      <c r="J2616" s="37">
        <v>0</v>
      </c>
      <c r="K2616" s="159">
        <f t="shared" ref="K2616:K2629" si="522">J2616*H2616</f>
        <v>0</v>
      </c>
      <c r="L2616" s="160"/>
    </row>
    <row r="2617" spans="1:12" s="21" customFormat="1" ht="31.5" x14ac:dyDescent="0.2">
      <c r="A2617" s="129">
        <f ca="1">IF(F2617&lt;&gt;"",1+MAX($A$1:A2616),"")</f>
        <v>334</v>
      </c>
      <c r="B2617" s="126" t="s">
        <v>1078</v>
      </c>
      <c r="C2617" s="120" t="s">
        <v>1079</v>
      </c>
      <c r="D2617" s="120"/>
      <c r="E2617" s="122" t="s">
        <v>1090</v>
      </c>
      <c r="F2617" s="123">
        <v>14</v>
      </c>
      <c r="G2617" s="124">
        <v>0</v>
      </c>
      <c r="H2617" s="125">
        <f t="shared" si="521"/>
        <v>14</v>
      </c>
      <c r="I2617" s="126" t="s">
        <v>20</v>
      </c>
      <c r="J2617" s="37">
        <v>0</v>
      </c>
      <c r="K2617" s="159">
        <f t="shared" si="522"/>
        <v>0</v>
      </c>
      <c r="L2617" s="160"/>
    </row>
    <row r="2618" spans="1:12" s="21" customFormat="1" ht="31.5" x14ac:dyDescent="0.2">
      <c r="A2618" s="129">
        <f ca="1">IF(F2618&lt;&gt;"",1+MAX($A$1:A2617),"")</f>
        <v>335</v>
      </c>
      <c r="B2618" s="126" t="s">
        <v>1078</v>
      </c>
      <c r="C2618" s="120" t="s">
        <v>1079</v>
      </c>
      <c r="D2618" s="120"/>
      <c r="E2618" s="122" t="s">
        <v>1091</v>
      </c>
      <c r="F2618" s="123">
        <v>22</v>
      </c>
      <c r="G2618" s="124">
        <v>0</v>
      </c>
      <c r="H2618" s="125">
        <f t="shared" si="521"/>
        <v>22</v>
      </c>
      <c r="I2618" s="126" t="s">
        <v>20</v>
      </c>
      <c r="J2618" s="37">
        <v>0</v>
      </c>
      <c r="K2618" s="159">
        <f t="shared" si="522"/>
        <v>0</v>
      </c>
      <c r="L2618" s="160"/>
    </row>
    <row r="2619" spans="1:12" s="21" customFormat="1" ht="31.5" x14ac:dyDescent="0.2">
      <c r="A2619" s="129">
        <f ca="1">IF(F2619&lt;&gt;"",1+MAX($A$1:A2618),"")</f>
        <v>336</v>
      </c>
      <c r="B2619" s="126" t="s">
        <v>1078</v>
      </c>
      <c r="C2619" s="120" t="s">
        <v>1079</v>
      </c>
      <c r="D2619" s="120"/>
      <c r="E2619" s="122" t="s">
        <v>1092</v>
      </c>
      <c r="F2619" s="123">
        <v>18</v>
      </c>
      <c r="G2619" s="124">
        <v>0</v>
      </c>
      <c r="H2619" s="125">
        <f t="shared" si="521"/>
        <v>18</v>
      </c>
      <c r="I2619" s="126" t="s">
        <v>20</v>
      </c>
      <c r="J2619" s="37">
        <v>0</v>
      </c>
      <c r="K2619" s="159">
        <f t="shared" si="522"/>
        <v>0</v>
      </c>
      <c r="L2619" s="160"/>
    </row>
    <row r="2620" spans="1:12" s="21" customFormat="1" ht="31.5" x14ac:dyDescent="0.2">
      <c r="A2620" s="129">
        <f ca="1">IF(F2620&lt;&gt;"",1+MAX($A$1:A2619),"")</f>
        <v>337</v>
      </c>
      <c r="B2620" s="126" t="s">
        <v>1078</v>
      </c>
      <c r="C2620" s="120" t="s">
        <v>1079</v>
      </c>
      <c r="D2620" s="120"/>
      <c r="E2620" s="122" t="s">
        <v>1093</v>
      </c>
      <c r="F2620" s="123">
        <v>11</v>
      </c>
      <c r="G2620" s="124">
        <v>0</v>
      </c>
      <c r="H2620" s="125">
        <f t="shared" si="521"/>
        <v>11</v>
      </c>
      <c r="I2620" s="126" t="s">
        <v>20</v>
      </c>
      <c r="J2620" s="37">
        <v>0</v>
      </c>
      <c r="K2620" s="159">
        <f t="shared" si="522"/>
        <v>0</v>
      </c>
      <c r="L2620" s="160"/>
    </row>
    <row r="2621" spans="1:12" s="21" customFormat="1" ht="31.5" x14ac:dyDescent="0.2">
      <c r="A2621" s="129">
        <f ca="1">IF(F2621&lt;&gt;"",1+MAX($A$1:A2620),"")</f>
        <v>338</v>
      </c>
      <c r="B2621" s="126" t="s">
        <v>1078</v>
      </c>
      <c r="C2621" s="120" t="s">
        <v>1079</v>
      </c>
      <c r="D2621" s="120"/>
      <c r="E2621" s="122" t="s">
        <v>1094</v>
      </c>
      <c r="F2621" s="123">
        <v>24</v>
      </c>
      <c r="G2621" s="124">
        <v>0</v>
      </c>
      <c r="H2621" s="125">
        <f t="shared" si="521"/>
        <v>24</v>
      </c>
      <c r="I2621" s="126" t="s">
        <v>20</v>
      </c>
      <c r="J2621" s="37">
        <v>0</v>
      </c>
      <c r="K2621" s="159">
        <f t="shared" si="522"/>
        <v>0</v>
      </c>
      <c r="L2621" s="160"/>
    </row>
    <row r="2622" spans="1:12" s="21" customFormat="1" ht="31.5" x14ac:dyDescent="0.2">
      <c r="A2622" s="129">
        <f ca="1">IF(F2622&lt;&gt;"",1+MAX($A$1:A2621),"")</f>
        <v>339</v>
      </c>
      <c r="B2622" s="126" t="s">
        <v>1078</v>
      </c>
      <c r="C2622" s="120" t="s">
        <v>1079</v>
      </c>
      <c r="D2622" s="120"/>
      <c r="E2622" s="122" t="s">
        <v>1095</v>
      </c>
      <c r="F2622" s="123">
        <v>7</v>
      </c>
      <c r="G2622" s="124">
        <v>0</v>
      </c>
      <c r="H2622" s="125">
        <f t="shared" si="521"/>
        <v>7</v>
      </c>
      <c r="I2622" s="126" t="s">
        <v>20</v>
      </c>
      <c r="J2622" s="37">
        <v>0</v>
      </c>
      <c r="K2622" s="159">
        <f t="shared" si="522"/>
        <v>0</v>
      </c>
      <c r="L2622" s="160"/>
    </row>
    <row r="2623" spans="1:12" s="21" customFormat="1" ht="31.5" x14ac:dyDescent="0.2">
      <c r="A2623" s="129">
        <f ca="1">IF(F2623&lt;&gt;"",1+MAX($A$1:A2622),"")</f>
        <v>340</v>
      </c>
      <c r="B2623" s="126" t="s">
        <v>1078</v>
      </c>
      <c r="C2623" s="120" t="s">
        <v>1079</v>
      </c>
      <c r="D2623" s="120"/>
      <c r="E2623" s="122" t="s">
        <v>1096</v>
      </c>
      <c r="F2623" s="123">
        <v>31</v>
      </c>
      <c r="G2623" s="124">
        <v>0</v>
      </c>
      <c r="H2623" s="125">
        <f t="shared" si="521"/>
        <v>31</v>
      </c>
      <c r="I2623" s="126" t="s">
        <v>20</v>
      </c>
      <c r="J2623" s="37">
        <v>0</v>
      </c>
      <c r="K2623" s="159">
        <f t="shared" si="522"/>
        <v>0</v>
      </c>
      <c r="L2623" s="160"/>
    </row>
    <row r="2624" spans="1:12" s="21" customFormat="1" ht="31.5" x14ac:dyDescent="0.2">
      <c r="A2624" s="129">
        <f ca="1">IF(F2624&lt;&gt;"",1+MAX($A$1:A2623),"")</f>
        <v>341</v>
      </c>
      <c r="B2624" s="126" t="s">
        <v>1078</v>
      </c>
      <c r="C2624" s="120" t="s">
        <v>1079</v>
      </c>
      <c r="D2624" s="120"/>
      <c r="E2624" s="122" t="s">
        <v>1097</v>
      </c>
      <c r="F2624" s="123">
        <v>85</v>
      </c>
      <c r="G2624" s="124">
        <v>0</v>
      </c>
      <c r="H2624" s="125">
        <f t="shared" si="521"/>
        <v>85</v>
      </c>
      <c r="I2624" s="126" t="s">
        <v>20</v>
      </c>
      <c r="J2624" s="37">
        <v>0</v>
      </c>
      <c r="K2624" s="159">
        <f t="shared" si="522"/>
        <v>0</v>
      </c>
      <c r="L2624" s="160"/>
    </row>
    <row r="2625" spans="1:12" s="21" customFormat="1" ht="31.5" x14ac:dyDescent="0.2">
      <c r="A2625" s="129">
        <f ca="1">IF(F2625&lt;&gt;"",1+MAX($A$1:A2624),"")</f>
        <v>342</v>
      </c>
      <c r="B2625" s="126" t="s">
        <v>1078</v>
      </c>
      <c r="C2625" s="120" t="s">
        <v>1079</v>
      </c>
      <c r="D2625" s="120"/>
      <c r="E2625" s="122" t="s">
        <v>1098</v>
      </c>
      <c r="F2625" s="123">
        <v>3</v>
      </c>
      <c r="G2625" s="124">
        <v>0</v>
      </c>
      <c r="H2625" s="125">
        <f t="shared" si="521"/>
        <v>3</v>
      </c>
      <c r="I2625" s="126" t="s">
        <v>20</v>
      </c>
      <c r="J2625" s="37">
        <v>0</v>
      </c>
      <c r="K2625" s="159">
        <f t="shared" si="522"/>
        <v>0</v>
      </c>
      <c r="L2625" s="160"/>
    </row>
    <row r="2626" spans="1:12" s="21" customFormat="1" ht="31.5" x14ac:dyDescent="0.2">
      <c r="A2626" s="129">
        <f ca="1">IF(F2626&lt;&gt;"",1+MAX($A$1:A2625),"")</f>
        <v>343</v>
      </c>
      <c r="B2626" s="126" t="s">
        <v>1078</v>
      </c>
      <c r="C2626" s="120" t="s">
        <v>1079</v>
      </c>
      <c r="D2626" s="120"/>
      <c r="E2626" s="122" t="s">
        <v>1099</v>
      </c>
      <c r="F2626" s="123">
        <v>31</v>
      </c>
      <c r="G2626" s="124">
        <v>0</v>
      </c>
      <c r="H2626" s="125">
        <f t="shared" si="521"/>
        <v>31</v>
      </c>
      <c r="I2626" s="126" t="s">
        <v>20</v>
      </c>
      <c r="J2626" s="37">
        <v>0</v>
      </c>
      <c r="K2626" s="159">
        <f t="shared" si="522"/>
        <v>0</v>
      </c>
      <c r="L2626" s="160"/>
    </row>
    <row r="2627" spans="1:12" s="21" customFormat="1" ht="31.5" x14ac:dyDescent="0.2">
      <c r="A2627" s="129">
        <f ca="1">IF(F2627&lt;&gt;"",1+MAX($A$1:A2626),"")</f>
        <v>344</v>
      </c>
      <c r="B2627" s="126" t="s">
        <v>1078</v>
      </c>
      <c r="C2627" s="120" t="s">
        <v>1079</v>
      </c>
      <c r="D2627" s="120"/>
      <c r="E2627" s="122" t="s">
        <v>1100</v>
      </c>
      <c r="F2627" s="123">
        <v>23</v>
      </c>
      <c r="G2627" s="124">
        <v>0</v>
      </c>
      <c r="H2627" s="125">
        <f t="shared" si="521"/>
        <v>23</v>
      </c>
      <c r="I2627" s="126" t="s">
        <v>20</v>
      </c>
      <c r="J2627" s="37">
        <v>0</v>
      </c>
      <c r="K2627" s="159">
        <f t="shared" si="522"/>
        <v>0</v>
      </c>
      <c r="L2627" s="160"/>
    </row>
    <row r="2628" spans="1:12" s="21" customFormat="1" ht="31.5" x14ac:dyDescent="0.2">
      <c r="A2628" s="129">
        <f ca="1">IF(F2628&lt;&gt;"",1+MAX($A$1:A2627),"")</f>
        <v>345</v>
      </c>
      <c r="B2628" s="126" t="s">
        <v>1078</v>
      </c>
      <c r="C2628" s="120" t="s">
        <v>1079</v>
      </c>
      <c r="D2628" s="120"/>
      <c r="E2628" s="122" t="s">
        <v>1101</v>
      </c>
      <c r="F2628" s="123">
        <v>3</v>
      </c>
      <c r="G2628" s="124">
        <v>0</v>
      </c>
      <c r="H2628" s="125">
        <f t="shared" si="521"/>
        <v>3</v>
      </c>
      <c r="I2628" s="126" t="s">
        <v>20</v>
      </c>
      <c r="J2628" s="37">
        <v>0</v>
      </c>
      <c r="K2628" s="159">
        <f t="shared" si="522"/>
        <v>0</v>
      </c>
      <c r="L2628" s="160"/>
    </row>
    <row r="2629" spans="1:12" s="21" customFormat="1" ht="31.5" x14ac:dyDescent="0.2">
      <c r="A2629" s="129">
        <f ca="1">IF(F2629&lt;&gt;"",1+MAX($A$1:A2628),"")</f>
        <v>346</v>
      </c>
      <c r="B2629" s="126" t="s">
        <v>1078</v>
      </c>
      <c r="C2629" s="120" t="s">
        <v>1079</v>
      </c>
      <c r="D2629" s="120"/>
      <c r="E2629" s="122" t="s">
        <v>1102</v>
      </c>
      <c r="F2629" s="123">
        <v>73</v>
      </c>
      <c r="G2629" s="124">
        <v>0</v>
      </c>
      <c r="H2629" s="125">
        <f t="shared" si="521"/>
        <v>73</v>
      </c>
      <c r="I2629" s="126" t="s">
        <v>20</v>
      </c>
      <c r="J2629" s="37">
        <v>0</v>
      </c>
      <c r="K2629" s="159">
        <f t="shared" si="522"/>
        <v>0</v>
      </c>
      <c r="L2629" s="160"/>
    </row>
    <row r="2630" spans="1:12" s="35" customFormat="1" x14ac:dyDescent="0.2">
      <c r="A2630" s="129" t="str">
        <f>IF(F2630&lt;&gt;"",1+MAX($A$1:A2629),"")</f>
        <v/>
      </c>
      <c r="B2630" s="126"/>
      <c r="C2630" s="120"/>
      <c r="D2630" s="120"/>
      <c r="E2630" s="122"/>
      <c r="F2630" s="123"/>
      <c r="G2630" s="124"/>
      <c r="H2630" s="125"/>
      <c r="I2630" s="126"/>
      <c r="J2630" s="293"/>
      <c r="K2630" s="159"/>
      <c r="L2630" s="160"/>
    </row>
    <row r="2631" spans="1:12" s="35" customFormat="1" x14ac:dyDescent="0.2">
      <c r="A2631" s="129" t="str">
        <f>IF(F2631&lt;&gt;"",1+MAX($A$1:A2630),"")</f>
        <v/>
      </c>
      <c r="B2631" s="126"/>
      <c r="C2631" s="120"/>
      <c r="D2631" s="120"/>
      <c r="E2631" s="290" t="s">
        <v>1103</v>
      </c>
      <c r="F2631" s="123"/>
      <c r="G2631" s="124"/>
      <c r="H2631" s="125"/>
      <c r="I2631" s="126"/>
      <c r="J2631" s="293"/>
      <c r="K2631" s="159"/>
      <c r="L2631" s="160"/>
    </row>
    <row r="2632" spans="1:12" s="21" customFormat="1" ht="31.5" x14ac:dyDescent="0.2">
      <c r="A2632" s="129">
        <f ca="1">IF(F2632&lt;&gt;"",1+MAX($A$1:A2631),"")</f>
        <v>347</v>
      </c>
      <c r="B2632" s="126" t="s">
        <v>1078</v>
      </c>
      <c r="C2632" s="120" t="s">
        <v>1079</v>
      </c>
      <c r="D2632" s="120"/>
      <c r="E2632" s="122" t="s">
        <v>1104</v>
      </c>
      <c r="F2632" s="123">
        <v>48</v>
      </c>
      <c r="G2632" s="124">
        <v>0</v>
      </c>
      <c r="H2632" s="125">
        <f t="shared" ref="H2632:H2641" si="523">F2632*(1+G2632)</f>
        <v>48</v>
      </c>
      <c r="I2632" s="126" t="s">
        <v>20</v>
      </c>
      <c r="J2632" s="37">
        <v>0</v>
      </c>
      <c r="K2632" s="159">
        <f t="shared" ref="K2632:K2641" si="524">J2632*H2632</f>
        <v>0</v>
      </c>
      <c r="L2632" s="160"/>
    </row>
    <row r="2633" spans="1:12" s="21" customFormat="1" ht="31.5" x14ac:dyDescent="0.2">
      <c r="A2633" s="129">
        <f ca="1">IF(F2633&lt;&gt;"",1+MAX($A$1:A2632),"")</f>
        <v>348</v>
      </c>
      <c r="B2633" s="126" t="s">
        <v>1078</v>
      </c>
      <c r="C2633" s="120" t="s">
        <v>1079</v>
      </c>
      <c r="D2633" s="120"/>
      <c r="E2633" s="122" t="s">
        <v>1105</v>
      </c>
      <c r="F2633" s="123">
        <v>13</v>
      </c>
      <c r="G2633" s="124">
        <v>0</v>
      </c>
      <c r="H2633" s="125">
        <f t="shared" si="523"/>
        <v>13</v>
      </c>
      <c r="I2633" s="126" t="s">
        <v>20</v>
      </c>
      <c r="J2633" s="37">
        <v>0</v>
      </c>
      <c r="K2633" s="159">
        <f t="shared" si="524"/>
        <v>0</v>
      </c>
      <c r="L2633" s="160"/>
    </row>
    <row r="2634" spans="1:12" s="21" customFormat="1" ht="31.5" x14ac:dyDescent="0.2">
      <c r="A2634" s="129">
        <f ca="1">IF(F2634&lt;&gt;"",1+MAX($A$1:A2633),"")</f>
        <v>349</v>
      </c>
      <c r="B2634" s="126" t="s">
        <v>1078</v>
      </c>
      <c r="C2634" s="120" t="s">
        <v>1079</v>
      </c>
      <c r="D2634" s="120"/>
      <c r="E2634" s="122" t="s">
        <v>1106</v>
      </c>
      <c r="F2634" s="123">
        <v>11</v>
      </c>
      <c r="G2634" s="124">
        <v>0</v>
      </c>
      <c r="H2634" s="125">
        <f t="shared" si="523"/>
        <v>11</v>
      </c>
      <c r="I2634" s="126" t="s">
        <v>20</v>
      </c>
      <c r="J2634" s="37">
        <v>0</v>
      </c>
      <c r="K2634" s="159">
        <f t="shared" si="524"/>
        <v>0</v>
      </c>
      <c r="L2634" s="160"/>
    </row>
    <row r="2635" spans="1:12" s="21" customFormat="1" ht="31.5" x14ac:dyDescent="0.2">
      <c r="A2635" s="129">
        <f ca="1">IF(F2635&lt;&gt;"",1+MAX($A$1:A2634),"")</f>
        <v>350</v>
      </c>
      <c r="B2635" s="126" t="s">
        <v>1078</v>
      </c>
      <c r="C2635" s="120" t="s">
        <v>1079</v>
      </c>
      <c r="D2635" s="120"/>
      <c r="E2635" s="122" t="s">
        <v>1107</v>
      </c>
      <c r="F2635" s="123">
        <v>6</v>
      </c>
      <c r="G2635" s="124">
        <v>0</v>
      </c>
      <c r="H2635" s="125">
        <f t="shared" si="523"/>
        <v>6</v>
      </c>
      <c r="I2635" s="126" t="s">
        <v>20</v>
      </c>
      <c r="J2635" s="37">
        <v>0</v>
      </c>
      <c r="K2635" s="159">
        <f t="shared" si="524"/>
        <v>0</v>
      </c>
      <c r="L2635" s="160"/>
    </row>
    <row r="2636" spans="1:12" s="21" customFormat="1" ht="31.5" x14ac:dyDescent="0.2">
      <c r="A2636" s="129">
        <f ca="1">IF(F2636&lt;&gt;"",1+MAX($A$1:A2635),"")</f>
        <v>351</v>
      </c>
      <c r="B2636" s="126" t="s">
        <v>1078</v>
      </c>
      <c r="C2636" s="120" t="s">
        <v>1079</v>
      </c>
      <c r="D2636" s="120"/>
      <c r="E2636" s="122" t="s">
        <v>1108</v>
      </c>
      <c r="F2636" s="123">
        <v>6</v>
      </c>
      <c r="G2636" s="124">
        <v>0</v>
      </c>
      <c r="H2636" s="125">
        <f t="shared" si="523"/>
        <v>6</v>
      </c>
      <c r="I2636" s="126" t="s">
        <v>20</v>
      </c>
      <c r="J2636" s="37">
        <v>0</v>
      </c>
      <c r="K2636" s="159">
        <f t="shared" si="524"/>
        <v>0</v>
      </c>
      <c r="L2636" s="160"/>
    </row>
    <row r="2637" spans="1:12" s="21" customFormat="1" ht="31.5" x14ac:dyDescent="0.2">
      <c r="A2637" s="129">
        <f ca="1">IF(F2637&lt;&gt;"",1+MAX($A$1:A2636),"")</f>
        <v>352</v>
      </c>
      <c r="B2637" s="126" t="s">
        <v>1078</v>
      </c>
      <c r="C2637" s="120" t="s">
        <v>1079</v>
      </c>
      <c r="D2637" s="120"/>
      <c r="E2637" s="122" t="s">
        <v>1109</v>
      </c>
      <c r="F2637" s="123">
        <v>4</v>
      </c>
      <c r="G2637" s="124">
        <v>0</v>
      </c>
      <c r="H2637" s="125">
        <f t="shared" si="523"/>
        <v>4</v>
      </c>
      <c r="I2637" s="126" t="s">
        <v>20</v>
      </c>
      <c r="J2637" s="37">
        <v>0</v>
      </c>
      <c r="K2637" s="159">
        <f t="shared" si="524"/>
        <v>0</v>
      </c>
      <c r="L2637" s="160"/>
    </row>
    <row r="2638" spans="1:12" s="21" customFormat="1" ht="31.5" x14ac:dyDescent="0.2">
      <c r="A2638" s="129">
        <f ca="1">IF(F2638&lt;&gt;"",1+MAX($A$1:A2637),"")</f>
        <v>353</v>
      </c>
      <c r="B2638" s="126" t="s">
        <v>1078</v>
      </c>
      <c r="C2638" s="120" t="s">
        <v>1079</v>
      </c>
      <c r="D2638" s="120"/>
      <c r="E2638" s="122" t="s">
        <v>1110</v>
      </c>
      <c r="F2638" s="123">
        <v>10</v>
      </c>
      <c r="G2638" s="124">
        <v>0</v>
      </c>
      <c r="H2638" s="125">
        <f t="shared" si="523"/>
        <v>10</v>
      </c>
      <c r="I2638" s="126" t="s">
        <v>20</v>
      </c>
      <c r="J2638" s="37">
        <v>0</v>
      </c>
      <c r="K2638" s="159">
        <f t="shared" si="524"/>
        <v>0</v>
      </c>
      <c r="L2638" s="160"/>
    </row>
    <row r="2639" spans="1:12" s="21" customFormat="1" ht="31.5" x14ac:dyDescent="0.2">
      <c r="A2639" s="129">
        <f ca="1">IF(F2639&lt;&gt;"",1+MAX($A$1:A2638),"")</f>
        <v>354</v>
      </c>
      <c r="B2639" s="126" t="s">
        <v>1078</v>
      </c>
      <c r="C2639" s="120" t="s">
        <v>1079</v>
      </c>
      <c r="D2639" s="120"/>
      <c r="E2639" s="122" t="s">
        <v>1111</v>
      </c>
      <c r="F2639" s="123">
        <v>92</v>
      </c>
      <c r="G2639" s="124">
        <v>0</v>
      </c>
      <c r="H2639" s="125">
        <f t="shared" si="523"/>
        <v>92</v>
      </c>
      <c r="I2639" s="126" t="s">
        <v>20</v>
      </c>
      <c r="J2639" s="37">
        <v>0</v>
      </c>
      <c r="K2639" s="159">
        <f t="shared" si="524"/>
        <v>0</v>
      </c>
      <c r="L2639" s="160"/>
    </row>
    <row r="2640" spans="1:12" s="21" customFormat="1" ht="31.5" x14ac:dyDescent="0.2">
      <c r="A2640" s="129">
        <f ca="1">IF(F2640&lt;&gt;"",1+MAX($A$1:A2639),"")</f>
        <v>355</v>
      </c>
      <c r="B2640" s="126" t="s">
        <v>1078</v>
      </c>
      <c r="C2640" s="120" t="s">
        <v>1079</v>
      </c>
      <c r="D2640" s="120"/>
      <c r="E2640" s="122" t="s">
        <v>1112</v>
      </c>
      <c r="F2640" s="123">
        <v>84</v>
      </c>
      <c r="G2640" s="124">
        <v>0</v>
      </c>
      <c r="H2640" s="125">
        <f t="shared" si="523"/>
        <v>84</v>
      </c>
      <c r="I2640" s="126" t="s">
        <v>20</v>
      </c>
      <c r="J2640" s="37">
        <v>0</v>
      </c>
      <c r="K2640" s="159">
        <f t="shared" si="524"/>
        <v>0</v>
      </c>
      <c r="L2640" s="160"/>
    </row>
    <row r="2641" spans="1:12" s="21" customFormat="1" ht="31.5" x14ac:dyDescent="0.2">
      <c r="A2641" s="129">
        <f ca="1">IF(F2641&lt;&gt;"",1+MAX($A$1:A2640),"")</f>
        <v>356</v>
      </c>
      <c r="B2641" s="126" t="s">
        <v>1078</v>
      </c>
      <c r="C2641" s="120" t="s">
        <v>1079</v>
      </c>
      <c r="D2641" s="120"/>
      <c r="E2641" s="122" t="s">
        <v>1113</v>
      </c>
      <c r="F2641" s="123">
        <v>50</v>
      </c>
      <c r="G2641" s="124">
        <v>0</v>
      </c>
      <c r="H2641" s="125">
        <f t="shared" si="523"/>
        <v>50</v>
      </c>
      <c r="I2641" s="126" t="s">
        <v>20</v>
      </c>
      <c r="J2641" s="37">
        <v>0</v>
      </c>
      <c r="K2641" s="159">
        <f t="shared" si="524"/>
        <v>0</v>
      </c>
      <c r="L2641" s="160"/>
    </row>
    <row r="2642" spans="1:12" s="35" customFormat="1" x14ac:dyDescent="0.2">
      <c r="A2642" s="129" t="str">
        <f>IF(F2642&lt;&gt;"",1+MAX($A$1:A2641),"")</f>
        <v/>
      </c>
      <c r="B2642" s="126"/>
      <c r="C2642" s="120"/>
      <c r="D2642" s="120"/>
      <c r="E2642" s="122"/>
      <c r="F2642" s="123"/>
      <c r="G2642" s="124"/>
      <c r="H2642" s="125"/>
      <c r="I2642" s="126"/>
      <c r="J2642" s="293"/>
      <c r="K2642" s="159"/>
      <c r="L2642" s="160"/>
    </row>
    <row r="2643" spans="1:12" s="35" customFormat="1" x14ac:dyDescent="0.2">
      <c r="A2643" s="129" t="str">
        <f>IF(F2643&lt;&gt;"",1+MAX($A$1:A2642),"")</f>
        <v/>
      </c>
      <c r="B2643" s="126"/>
      <c r="C2643" s="120"/>
      <c r="D2643" s="120"/>
      <c r="E2643" s="290" t="s">
        <v>1114</v>
      </c>
      <c r="F2643" s="123"/>
      <c r="G2643" s="124"/>
      <c r="H2643" s="125"/>
      <c r="I2643" s="126"/>
      <c r="J2643" s="293"/>
      <c r="K2643" s="159"/>
      <c r="L2643" s="160"/>
    </row>
    <row r="2644" spans="1:12" s="21" customFormat="1" ht="31.5" x14ac:dyDescent="0.2">
      <c r="A2644" s="129">
        <f ca="1">IF(F2644&lt;&gt;"",1+MAX($A$1:A2643),"")</f>
        <v>357</v>
      </c>
      <c r="B2644" s="126" t="s">
        <v>1078</v>
      </c>
      <c r="C2644" s="120" t="s">
        <v>1079</v>
      </c>
      <c r="D2644" s="120"/>
      <c r="E2644" s="122" t="s">
        <v>1115</v>
      </c>
      <c r="F2644" s="123">
        <v>7</v>
      </c>
      <c r="G2644" s="124">
        <v>0</v>
      </c>
      <c r="H2644" s="125">
        <f>F2644*(1+G2644)</f>
        <v>7</v>
      </c>
      <c r="I2644" s="126" t="s">
        <v>20</v>
      </c>
      <c r="J2644" s="37">
        <v>0</v>
      </c>
      <c r="K2644" s="159">
        <f>J2644*H2644</f>
        <v>0</v>
      </c>
      <c r="L2644" s="160"/>
    </row>
    <row r="2645" spans="1:12" s="35" customFormat="1" x14ac:dyDescent="0.2">
      <c r="A2645" s="129" t="str">
        <f>IF(F2645&lt;&gt;"",1+MAX($A$1:A2644),"")</f>
        <v/>
      </c>
      <c r="B2645" s="126"/>
      <c r="C2645" s="120"/>
      <c r="D2645" s="120"/>
      <c r="E2645" s="122"/>
      <c r="F2645" s="123"/>
      <c r="G2645" s="124"/>
      <c r="H2645" s="125"/>
      <c r="I2645" s="126"/>
      <c r="J2645" s="293"/>
      <c r="K2645" s="159"/>
      <c r="L2645" s="160"/>
    </row>
    <row r="2646" spans="1:12" s="35" customFormat="1" x14ac:dyDescent="0.2">
      <c r="A2646" s="129" t="str">
        <f>IF(F2646&lt;&gt;"",1+MAX($A$1:A2645),"")</f>
        <v/>
      </c>
      <c r="B2646" s="126"/>
      <c r="C2646" s="120"/>
      <c r="D2646" s="120"/>
      <c r="E2646" s="290" t="s">
        <v>1116</v>
      </c>
      <c r="F2646" s="123"/>
      <c r="G2646" s="124"/>
      <c r="H2646" s="125"/>
      <c r="I2646" s="126"/>
      <c r="J2646" s="293"/>
      <c r="K2646" s="159"/>
      <c r="L2646" s="160"/>
    </row>
    <row r="2647" spans="1:12" s="21" customFormat="1" ht="31.5" x14ac:dyDescent="0.2">
      <c r="A2647" s="129">
        <f ca="1">IF(F2647&lt;&gt;"",1+MAX($A$1:A2646),"")</f>
        <v>358</v>
      </c>
      <c r="B2647" s="126" t="s">
        <v>1078</v>
      </c>
      <c r="C2647" s="120" t="s">
        <v>1079</v>
      </c>
      <c r="D2647" s="120"/>
      <c r="E2647" s="122" t="s">
        <v>1117</v>
      </c>
      <c r="F2647" s="123">
        <v>160</v>
      </c>
      <c r="G2647" s="124">
        <v>0</v>
      </c>
      <c r="H2647" s="125">
        <f t="shared" ref="H2647:H2656" si="525">F2647*(1+G2647)</f>
        <v>160</v>
      </c>
      <c r="I2647" s="126" t="s">
        <v>20</v>
      </c>
      <c r="J2647" s="37">
        <v>0</v>
      </c>
      <c r="K2647" s="159">
        <f t="shared" ref="K2647:K2656" si="526">J2647*H2647</f>
        <v>0</v>
      </c>
      <c r="L2647" s="160"/>
    </row>
    <row r="2648" spans="1:12" s="21" customFormat="1" ht="31.5" x14ac:dyDescent="0.2">
      <c r="A2648" s="129">
        <f ca="1">IF(F2648&lt;&gt;"",1+MAX($A$1:A2647),"")</f>
        <v>359</v>
      </c>
      <c r="B2648" s="126" t="s">
        <v>1078</v>
      </c>
      <c r="C2648" s="120" t="s">
        <v>1079</v>
      </c>
      <c r="D2648" s="120"/>
      <c r="E2648" s="122" t="s">
        <v>1118</v>
      </c>
      <c r="F2648" s="123">
        <v>120</v>
      </c>
      <c r="G2648" s="124">
        <v>0</v>
      </c>
      <c r="H2648" s="125">
        <f t="shared" si="525"/>
        <v>120</v>
      </c>
      <c r="I2648" s="126" t="s">
        <v>20</v>
      </c>
      <c r="J2648" s="37">
        <v>0</v>
      </c>
      <c r="K2648" s="159">
        <f t="shared" si="526"/>
        <v>0</v>
      </c>
      <c r="L2648" s="160"/>
    </row>
    <row r="2649" spans="1:12" s="21" customFormat="1" ht="31.5" x14ac:dyDescent="0.2">
      <c r="A2649" s="129">
        <f ca="1">IF(F2649&lt;&gt;"",1+MAX($A$1:A2648),"")</f>
        <v>360</v>
      </c>
      <c r="B2649" s="126" t="s">
        <v>1078</v>
      </c>
      <c r="C2649" s="120" t="s">
        <v>1079</v>
      </c>
      <c r="D2649" s="120"/>
      <c r="E2649" s="122" t="s">
        <v>1119</v>
      </c>
      <c r="F2649" s="123">
        <v>13</v>
      </c>
      <c r="G2649" s="124">
        <v>0</v>
      </c>
      <c r="H2649" s="125">
        <f t="shared" si="525"/>
        <v>13</v>
      </c>
      <c r="I2649" s="126" t="s">
        <v>20</v>
      </c>
      <c r="J2649" s="37">
        <v>0</v>
      </c>
      <c r="K2649" s="159">
        <f t="shared" si="526"/>
        <v>0</v>
      </c>
      <c r="L2649" s="160"/>
    </row>
    <row r="2650" spans="1:12" s="21" customFormat="1" ht="31.5" x14ac:dyDescent="0.2">
      <c r="A2650" s="129">
        <f ca="1">IF(F2650&lt;&gt;"",1+MAX($A$1:A2649),"")</f>
        <v>361</v>
      </c>
      <c r="B2650" s="126" t="s">
        <v>1078</v>
      </c>
      <c r="C2650" s="120" t="s">
        <v>1079</v>
      </c>
      <c r="D2650" s="120"/>
      <c r="E2650" s="122" t="s">
        <v>1120</v>
      </c>
      <c r="F2650" s="123">
        <v>48</v>
      </c>
      <c r="G2650" s="124">
        <v>0</v>
      </c>
      <c r="H2650" s="125">
        <f t="shared" si="525"/>
        <v>48</v>
      </c>
      <c r="I2650" s="126" t="s">
        <v>20</v>
      </c>
      <c r="J2650" s="37">
        <v>0</v>
      </c>
      <c r="K2650" s="159">
        <f t="shared" si="526"/>
        <v>0</v>
      </c>
      <c r="L2650" s="160"/>
    </row>
    <row r="2651" spans="1:12" s="21" customFormat="1" ht="31.5" x14ac:dyDescent="0.2">
      <c r="A2651" s="129">
        <f ca="1">IF(F2651&lt;&gt;"",1+MAX($A$1:A2650),"")</f>
        <v>362</v>
      </c>
      <c r="B2651" s="126" t="s">
        <v>1078</v>
      </c>
      <c r="C2651" s="120" t="s">
        <v>1079</v>
      </c>
      <c r="D2651" s="120"/>
      <c r="E2651" s="122" t="s">
        <v>1121</v>
      </c>
      <c r="F2651" s="123">
        <v>31</v>
      </c>
      <c r="G2651" s="124">
        <v>0</v>
      </c>
      <c r="H2651" s="125">
        <f t="shared" si="525"/>
        <v>31</v>
      </c>
      <c r="I2651" s="126" t="s">
        <v>20</v>
      </c>
      <c r="J2651" s="37">
        <v>0</v>
      </c>
      <c r="K2651" s="159">
        <f t="shared" si="526"/>
        <v>0</v>
      </c>
      <c r="L2651" s="160"/>
    </row>
    <row r="2652" spans="1:12" s="21" customFormat="1" ht="31.5" x14ac:dyDescent="0.2">
      <c r="A2652" s="129">
        <f ca="1">IF(F2652&lt;&gt;"",1+MAX($A$1:A2651),"")</f>
        <v>363</v>
      </c>
      <c r="B2652" s="126" t="s">
        <v>1078</v>
      </c>
      <c r="C2652" s="120" t="s">
        <v>1079</v>
      </c>
      <c r="D2652" s="120"/>
      <c r="E2652" s="122" t="s">
        <v>1122</v>
      </c>
      <c r="F2652" s="123">
        <v>40</v>
      </c>
      <c r="G2652" s="124">
        <v>0</v>
      </c>
      <c r="H2652" s="125">
        <f t="shared" si="525"/>
        <v>40</v>
      </c>
      <c r="I2652" s="126" t="s">
        <v>20</v>
      </c>
      <c r="J2652" s="37">
        <v>0</v>
      </c>
      <c r="K2652" s="159">
        <f t="shared" si="526"/>
        <v>0</v>
      </c>
      <c r="L2652" s="160"/>
    </row>
    <row r="2653" spans="1:12" s="21" customFormat="1" ht="31.5" x14ac:dyDescent="0.2">
      <c r="A2653" s="129">
        <f ca="1">IF(F2653&lt;&gt;"",1+MAX($A$1:A2652),"")</f>
        <v>364</v>
      </c>
      <c r="B2653" s="126" t="s">
        <v>1078</v>
      </c>
      <c r="C2653" s="120" t="s">
        <v>1079</v>
      </c>
      <c r="D2653" s="120"/>
      <c r="E2653" s="122" t="s">
        <v>1123</v>
      </c>
      <c r="F2653" s="123">
        <v>32</v>
      </c>
      <c r="G2653" s="124">
        <v>0</v>
      </c>
      <c r="H2653" s="125">
        <f t="shared" si="525"/>
        <v>32</v>
      </c>
      <c r="I2653" s="126" t="s">
        <v>20</v>
      </c>
      <c r="J2653" s="37">
        <v>0</v>
      </c>
      <c r="K2653" s="159">
        <f t="shared" si="526"/>
        <v>0</v>
      </c>
      <c r="L2653" s="160"/>
    </row>
    <row r="2654" spans="1:12" s="21" customFormat="1" ht="31.5" x14ac:dyDescent="0.2">
      <c r="A2654" s="129">
        <f ca="1">IF(F2654&lt;&gt;"",1+MAX($A$1:A2653),"")</f>
        <v>365</v>
      </c>
      <c r="B2654" s="126" t="s">
        <v>1078</v>
      </c>
      <c r="C2654" s="120" t="s">
        <v>1079</v>
      </c>
      <c r="D2654" s="120"/>
      <c r="E2654" s="122" t="s">
        <v>1124</v>
      </c>
      <c r="F2654" s="123">
        <v>30</v>
      </c>
      <c r="G2654" s="124">
        <v>0</v>
      </c>
      <c r="H2654" s="125">
        <f t="shared" si="525"/>
        <v>30</v>
      </c>
      <c r="I2654" s="126" t="s">
        <v>20</v>
      </c>
      <c r="J2654" s="37">
        <v>0</v>
      </c>
      <c r="K2654" s="159">
        <f t="shared" si="526"/>
        <v>0</v>
      </c>
      <c r="L2654" s="160"/>
    </row>
    <row r="2655" spans="1:12" s="21" customFormat="1" ht="31.5" x14ac:dyDescent="0.2">
      <c r="A2655" s="129">
        <f ca="1">IF(F2655&lt;&gt;"",1+MAX($A$1:A2654),"")</f>
        <v>366</v>
      </c>
      <c r="B2655" s="126" t="s">
        <v>1078</v>
      </c>
      <c r="C2655" s="120" t="s">
        <v>1079</v>
      </c>
      <c r="D2655" s="120"/>
      <c r="E2655" s="122" t="s">
        <v>1125</v>
      </c>
      <c r="F2655" s="123">
        <v>11</v>
      </c>
      <c r="G2655" s="124">
        <v>0</v>
      </c>
      <c r="H2655" s="125">
        <f t="shared" si="525"/>
        <v>11</v>
      </c>
      <c r="I2655" s="126" t="s">
        <v>20</v>
      </c>
      <c r="J2655" s="37">
        <v>0</v>
      </c>
      <c r="K2655" s="159">
        <f t="shared" si="526"/>
        <v>0</v>
      </c>
      <c r="L2655" s="160"/>
    </row>
    <row r="2656" spans="1:12" s="21" customFormat="1" ht="31.5" x14ac:dyDescent="0.2">
      <c r="A2656" s="129">
        <f ca="1">IF(F2656&lt;&gt;"",1+MAX($A$1:A2655),"")</f>
        <v>367</v>
      </c>
      <c r="B2656" s="126" t="s">
        <v>1078</v>
      </c>
      <c r="C2656" s="120" t="s">
        <v>1079</v>
      </c>
      <c r="D2656" s="120"/>
      <c r="E2656" s="122" t="s">
        <v>1126</v>
      </c>
      <c r="F2656" s="123">
        <v>79</v>
      </c>
      <c r="G2656" s="124">
        <v>0</v>
      </c>
      <c r="H2656" s="125">
        <f t="shared" si="525"/>
        <v>79</v>
      </c>
      <c r="I2656" s="126" t="s">
        <v>20</v>
      </c>
      <c r="J2656" s="37">
        <v>0</v>
      </c>
      <c r="K2656" s="159">
        <f t="shared" si="526"/>
        <v>0</v>
      </c>
      <c r="L2656" s="160"/>
    </row>
    <row r="2657" spans="1:12" s="35" customFormat="1" x14ac:dyDescent="0.2">
      <c r="A2657" s="129" t="str">
        <f>IF(F2657&lt;&gt;"",1+MAX($A$1:A2656),"")</f>
        <v/>
      </c>
      <c r="B2657" s="126"/>
      <c r="C2657" s="120"/>
      <c r="D2657" s="120"/>
      <c r="E2657" s="122"/>
      <c r="F2657" s="123"/>
      <c r="G2657" s="124"/>
      <c r="H2657" s="125"/>
      <c r="I2657" s="126"/>
      <c r="J2657" s="293"/>
      <c r="K2657" s="159"/>
      <c r="L2657" s="160"/>
    </row>
    <row r="2658" spans="1:12" s="35" customFormat="1" x14ac:dyDescent="0.2">
      <c r="A2658" s="129" t="str">
        <f>IF(F2658&lt;&gt;"",1+MAX($A$1:A2657),"")</f>
        <v/>
      </c>
      <c r="B2658" s="126"/>
      <c r="C2658" s="120"/>
      <c r="D2658" s="120"/>
      <c r="E2658" s="290" t="s">
        <v>1127</v>
      </c>
      <c r="F2658" s="123"/>
      <c r="G2658" s="124"/>
      <c r="H2658" s="125"/>
      <c r="I2658" s="126"/>
      <c r="J2658" s="23"/>
      <c r="K2658" s="159"/>
      <c r="L2658" s="160"/>
    </row>
    <row r="2659" spans="1:12" s="21" customFormat="1" ht="31.5" x14ac:dyDescent="0.2">
      <c r="A2659" s="129">
        <f ca="1">IF(F2659&lt;&gt;"",1+MAX($A$1:A2658),"")</f>
        <v>368</v>
      </c>
      <c r="B2659" s="126"/>
      <c r="C2659" s="120" t="s">
        <v>1128</v>
      </c>
      <c r="D2659" s="120"/>
      <c r="E2659" s="122" t="s">
        <v>1129</v>
      </c>
      <c r="F2659" s="123">
        <f>4853*0.25/27</f>
        <v>44.935185185185183</v>
      </c>
      <c r="G2659" s="124">
        <v>0.1</v>
      </c>
      <c r="H2659" s="125">
        <f>F2659*(1+G2659)</f>
        <v>49.428703703703704</v>
      </c>
      <c r="I2659" s="126" t="s">
        <v>461</v>
      </c>
      <c r="J2659" s="37">
        <v>0</v>
      </c>
      <c r="K2659" s="159">
        <f>J2659*H2659</f>
        <v>0</v>
      </c>
      <c r="L2659" s="160"/>
    </row>
    <row r="2660" spans="1:12" s="35" customFormat="1" x14ac:dyDescent="0.2">
      <c r="A2660" s="129" t="str">
        <f>IF(F2660&lt;&gt;"",1+MAX($A$1:A2659),"")</f>
        <v/>
      </c>
      <c r="B2660" s="126"/>
      <c r="C2660" s="120"/>
      <c r="D2660" s="120"/>
      <c r="E2660" s="122"/>
      <c r="F2660" s="123"/>
      <c r="G2660" s="184"/>
      <c r="H2660" s="125"/>
      <c r="I2660" s="126"/>
      <c r="J2660" s="37"/>
      <c r="K2660" s="159"/>
      <c r="L2660" s="160"/>
    </row>
    <row r="2661" spans="1:12" s="35" customFormat="1" x14ac:dyDescent="0.2">
      <c r="A2661" s="129" t="str">
        <f>IF(F2661&lt;&gt;"",1+MAX($A$1:A2660),"")</f>
        <v/>
      </c>
      <c r="B2661" s="126"/>
      <c r="C2661" s="120"/>
      <c r="D2661" s="120"/>
      <c r="E2661" s="290" t="s">
        <v>1130</v>
      </c>
      <c r="F2661" s="123"/>
      <c r="G2661" s="124"/>
      <c r="H2661" s="125"/>
      <c r="I2661" s="126"/>
      <c r="J2661" s="23"/>
      <c r="K2661" s="159"/>
      <c r="L2661" s="160"/>
    </row>
    <row r="2662" spans="1:12" s="35" customFormat="1" x14ac:dyDescent="0.2">
      <c r="A2662" s="129">
        <f ca="1">IF(F2662&lt;&gt;"",1+MAX($A$1:A2661),"")</f>
        <v>369</v>
      </c>
      <c r="B2662" s="126" t="s">
        <v>905</v>
      </c>
      <c r="C2662" s="120" t="s">
        <v>1131</v>
      </c>
      <c r="D2662" s="120"/>
      <c r="E2662" s="122" t="s">
        <v>1132</v>
      </c>
      <c r="F2662" s="123">
        <v>36</v>
      </c>
      <c r="G2662" s="124">
        <v>0</v>
      </c>
      <c r="H2662" s="125">
        <f>F2662*(1+G2662)</f>
        <v>36</v>
      </c>
      <c r="I2662" s="126" t="s">
        <v>20</v>
      </c>
      <c r="J2662" s="37">
        <v>0</v>
      </c>
      <c r="K2662" s="159">
        <f>J2662*H2662</f>
        <v>0</v>
      </c>
      <c r="L2662" s="160"/>
    </row>
    <row r="2663" spans="1:12" s="35" customFormat="1" x14ac:dyDescent="0.2">
      <c r="A2663" s="129" t="str">
        <f>IF(F2663&lt;&gt;"",1+MAX($A$1:A2662),"")</f>
        <v/>
      </c>
      <c r="B2663" s="126"/>
      <c r="C2663" s="120"/>
      <c r="D2663" s="120"/>
      <c r="E2663" s="122"/>
      <c r="F2663" s="123"/>
      <c r="G2663" s="184"/>
      <c r="H2663" s="125"/>
      <c r="I2663" s="126"/>
      <c r="J2663" s="37"/>
      <c r="K2663" s="159"/>
      <c r="L2663" s="160"/>
    </row>
    <row r="2664" spans="1:12" s="35" customFormat="1" x14ac:dyDescent="0.2">
      <c r="A2664" s="129" t="str">
        <f>IF(F2664&lt;&gt;"",1+MAX($A$1:A2663),"")</f>
        <v/>
      </c>
      <c r="B2664" s="126"/>
      <c r="C2664" s="120"/>
      <c r="D2664" s="120"/>
      <c r="E2664" s="290" t="s">
        <v>1133</v>
      </c>
      <c r="F2664" s="123"/>
      <c r="G2664" s="124"/>
      <c r="H2664" s="125"/>
      <c r="I2664" s="126"/>
      <c r="J2664" s="23"/>
      <c r="K2664" s="159"/>
      <c r="L2664" s="160"/>
    </row>
    <row r="2665" spans="1:12" s="35" customFormat="1" ht="31.5" x14ac:dyDescent="0.2">
      <c r="A2665" s="129">
        <f ca="1">IF(F2665&lt;&gt;"",1+MAX($A$1:A2664),"")</f>
        <v>370</v>
      </c>
      <c r="B2665" s="126" t="s">
        <v>841</v>
      </c>
      <c r="C2665" s="120" t="s">
        <v>1134</v>
      </c>
      <c r="D2665" s="120"/>
      <c r="E2665" s="122" t="s">
        <v>1135</v>
      </c>
      <c r="F2665" s="123">
        <v>171.51</v>
      </c>
      <c r="G2665" s="124">
        <v>0.1</v>
      </c>
      <c r="H2665" s="125">
        <f>F2665*(1+G2665)</f>
        <v>188.661</v>
      </c>
      <c r="I2665" s="126" t="s">
        <v>15</v>
      </c>
      <c r="J2665" s="37">
        <v>0</v>
      </c>
      <c r="K2665" s="159">
        <f>J2665*H2665</f>
        <v>0</v>
      </c>
      <c r="L2665" s="160"/>
    </row>
    <row r="2666" spans="1:12" s="21" customFormat="1" x14ac:dyDescent="0.2">
      <c r="A2666" s="129" t="str">
        <f>IF(F2666&lt;&gt;"",1+MAX($A$1:A2665),"")</f>
        <v/>
      </c>
      <c r="B2666" s="126"/>
      <c r="C2666" s="120"/>
      <c r="D2666" s="120"/>
      <c r="E2666" s="122"/>
      <c r="F2666" s="123"/>
      <c r="G2666" s="184"/>
      <c r="H2666" s="125"/>
      <c r="I2666" s="126"/>
      <c r="J2666" s="37"/>
      <c r="K2666" s="159"/>
      <c r="L2666" s="160"/>
    </row>
    <row r="2667" spans="1:12" s="21" customFormat="1" x14ac:dyDescent="0.2">
      <c r="A2667" s="129" t="str">
        <f>IF(F2667&lt;&gt;"",1+MAX($A$1:A2666),"")</f>
        <v/>
      </c>
      <c r="B2667" s="126"/>
      <c r="C2667" s="120"/>
      <c r="D2667" s="120"/>
      <c r="E2667" s="172" t="s">
        <v>1136</v>
      </c>
      <c r="F2667" s="123"/>
      <c r="G2667" s="184"/>
      <c r="H2667" s="125"/>
      <c r="I2667" s="126"/>
      <c r="J2667" s="23"/>
      <c r="K2667" s="207"/>
      <c r="L2667" s="160"/>
    </row>
    <row r="2668" spans="1:12" s="35" customFormat="1" x14ac:dyDescent="0.2">
      <c r="A2668" s="129" t="str">
        <f>IF(F2668&lt;&gt;"",1+MAX($A$1:A2667),"")</f>
        <v/>
      </c>
      <c r="B2668" s="126"/>
      <c r="C2668" s="120"/>
      <c r="D2668" s="120"/>
      <c r="E2668" s="290" t="s">
        <v>1137</v>
      </c>
      <c r="F2668" s="123"/>
      <c r="G2668" s="124"/>
      <c r="H2668" s="125"/>
      <c r="I2668" s="126"/>
      <c r="J2668" s="23"/>
      <c r="K2668" s="159"/>
      <c r="L2668" s="160"/>
    </row>
    <row r="2669" spans="1:12" s="21" customFormat="1" x14ac:dyDescent="0.2">
      <c r="A2669" s="129">
        <f ca="1">IF(F2669&lt;&gt;"",1+MAX($A$1:A2668),"")</f>
        <v>371</v>
      </c>
      <c r="B2669" s="126" t="s">
        <v>1138</v>
      </c>
      <c r="C2669" s="120" t="s">
        <v>1139</v>
      </c>
      <c r="D2669" s="120"/>
      <c r="E2669" s="122" t="s">
        <v>1140</v>
      </c>
      <c r="F2669" s="123">
        <v>306.76</v>
      </c>
      <c r="G2669" s="124">
        <v>0.1</v>
      </c>
      <c r="H2669" s="125">
        <f>F2669*(1+G2669)</f>
        <v>337.43600000000004</v>
      </c>
      <c r="I2669" s="126" t="s">
        <v>15</v>
      </c>
      <c r="J2669" s="37">
        <v>0</v>
      </c>
      <c r="K2669" s="159">
        <f>J2669*H2669</f>
        <v>0</v>
      </c>
      <c r="L2669" s="160"/>
    </row>
    <row r="2670" spans="1:12" s="35" customFormat="1" x14ac:dyDescent="0.2">
      <c r="A2670" s="129">
        <f ca="1">IF(F2670&lt;&gt;"",1+MAX($A$1:A2669),"")</f>
        <v>372</v>
      </c>
      <c r="B2670" s="126" t="s">
        <v>1138</v>
      </c>
      <c r="C2670" s="120" t="s">
        <v>1139</v>
      </c>
      <c r="D2670" s="189"/>
      <c r="E2670" s="122" t="s">
        <v>464</v>
      </c>
      <c r="F2670" s="123">
        <f>F2669*2*3/27</f>
        <v>68.168888888888887</v>
      </c>
      <c r="G2670" s="124">
        <v>0.1</v>
      </c>
      <c r="H2670" s="125">
        <f t="shared" ref="H2670:H2672" si="527">F2670*(1+G2670)</f>
        <v>74.985777777777784</v>
      </c>
      <c r="I2670" s="126" t="s">
        <v>461</v>
      </c>
      <c r="J2670" s="37">
        <f>J$274</f>
        <v>0</v>
      </c>
      <c r="K2670" s="159">
        <f t="shared" ref="K2670:K2672" si="528">J2670*H2670</f>
        <v>0</v>
      </c>
      <c r="L2670" s="160"/>
    </row>
    <row r="2671" spans="1:12" s="35" customFormat="1" x14ac:dyDescent="0.2">
      <c r="A2671" s="129">
        <f ca="1">IF(F2671&lt;&gt;"",1+MAX($A$1:A2670),"")</f>
        <v>373</v>
      </c>
      <c r="B2671" s="126" t="s">
        <v>1138</v>
      </c>
      <c r="C2671" s="120" t="s">
        <v>1139</v>
      </c>
      <c r="D2671" s="189"/>
      <c r="E2671" s="122" t="s">
        <v>1141</v>
      </c>
      <c r="F2671" s="123">
        <f>F2669*2*0.75/27</f>
        <v>17.042222222222222</v>
      </c>
      <c r="G2671" s="124">
        <v>0.1</v>
      </c>
      <c r="H2671" s="125">
        <f t="shared" si="527"/>
        <v>18.746444444444446</v>
      </c>
      <c r="I2671" s="126" t="s">
        <v>461</v>
      </c>
      <c r="J2671" s="37">
        <f>J$441</f>
        <v>0</v>
      </c>
      <c r="K2671" s="159">
        <f t="shared" si="528"/>
        <v>0</v>
      </c>
      <c r="L2671" s="160"/>
    </row>
    <row r="2672" spans="1:12" s="35" customFormat="1" x14ac:dyDescent="0.2">
      <c r="A2672" s="129">
        <f ca="1">IF(F2672&lt;&gt;"",1+MAX($A$1:A2671),"")</f>
        <v>374</v>
      </c>
      <c r="B2672" s="126" t="s">
        <v>1138</v>
      </c>
      <c r="C2672" s="120" t="s">
        <v>1139</v>
      </c>
      <c r="D2672" s="189"/>
      <c r="E2672" s="122" t="s">
        <v>465</v>
      </c>
      <c r="F2672" s="123">
        <f>F2670-F2671-(F2669*3.14*0.125*0.125*0.25/27)</f>
        <v>50.987310995370372</v>
      </c>
      <c r="G2672" s="124">
        <v>0.1</v>
      </c>
      <c r="H2672" s="125">
        <f t="shared" si="527"/>
        <v>56.086042094907413</v>
      </c>
      <c r="I2672" s="126" t="s">
        <v>461</v>
      </c>
      <c r="J2672" s="37">
        <f>J$275</f>
        <v>0</v>
      </c>
      <c r="K2672" s="159">
        <f t="shared" si="528"/>
        <v>0</v>
      </c>
      <c r="L2672" s="160"/>
    </row>
    <row r="2673" spans="1:12" s="35" customFormat="1" x14ac:dyDescent="0.2">
      <c r="A2673" s="129" t="str">
        <f>IF(F2673&lt;&gt;"",1+MAX($A$1:A2672),"")</f>
        <v/>
      </c>
      <c r="B2673" s="126"/>
      <c r="C2673" s="120"/>
      <c r="D2673" s="120"/>
      <c r="E2673" s="122"/>
      <c r="F2673" s="123"/>
      <c r="G2673" s="124"/>
      <c r="H2673" s="125"/>
      <c r="I2673" s="126"/>
      <c r="J2673" s="293"/>
      <c r="K2673" s="159"/>
      <c r="L2673" s="160"/>
    </row>
    <row r="2674" spans="1:12" s="21" customFormat="1" x14ac:dyDescent="0.2">
      <c r="A2674" s="129">
        <f ca="1">IF(F2674&lt;&gt;"",1+MAX($A$1:A2673),"")</f>
        <v>375</v>
      </c>
      <c r="B2674" s="126" t="s">
        <v>1138</v>
      </c>
      <c r="C2674" s="120" t="s">
        <v>1139</v>
      </c>
      <c r="D2674" s="120"/>
      <c r="E2674" s="122" t="s">
        <v>1142</v>
      </c>
      <c r="F2674" s="123">
        <v>153.63999999999999</v>
      </c>
      <c r="G2674" s="124">
        <v>0.1</v>
      </c>
      <c r="H2674" s="125">
        <f>F2674*(1+G2674)</f>
        <v>169.00399999999999</v>
      </c>
      <c r="I2674" s="126" t="s">
        <v>15</v>
      </c>
      <c r="J2674" s="37">
        <v>0</v>
      </c>
      <c r="K2674" s="159">
        <f>J2674*H2674</f>
        <v>0</v>
      </c>
      <c r="L2674" s="160"/>
    </row>
    <row r="2675" spans="1:12" s="35" customFormat="1" x14ac:dyDescent="0.2">
      <c r="A2675" s="129">
        <f ca="1">IF(F2675&lt;&gt;"",1+MAX($A$1:A2674),"")</f>
        <v>376</v>
      </c>
      <c r="B2675" s="126" t="s">
        <v>1138</v>
      </c>
      <c r="C2675" s="120" t="s">
        <v>1139</v>
      </c>
      <c r="D2675" s="189"/>
      <c r="E2675" s="122" t="s">
        <v>464</v>
      </c>
      <c r="F2675" s="123">
        <f>F2674*2*3/27</f>
        <v>34.142222222222216</v>
      </c>
      <c r="G2675" s="124">
        <v>0.1</v>
      </c>
      <c r="H2675" s="125">
        <f t="shared" ref="H2675:H2677" si="529">F2675*(1+G2675)</f>
        <v>37.556444444444438</v>
      </c>
      <c r="I2675" s="126" t="s">
        <v>461</v>
      </c>
      <c r="J2675" s="37">
        <f>J$274</f>
        <v>0</v>
      </c>
      <c r="K2675" s="159">
        <f t="shared" ref="K2675:K2677" si="530">J2675*H2675</f>
        <v>0</v>
      </c>
      <c r="L2675" s="160"/>
    </row>
    <row r="2676" spans="1:12" s="35" customFormat="1" x14ac:dyDescent="0.2">
      <c r="A2676" s="129">
        <f ca="1">IF(F2676&lt;&gt;"",1+MAX($A$1:A2675),"")</f>
        <v>377</v>
      </c>
      <c r="B2676" s="126" t="s">
        <v>1138</v>
      </c>
      <c r="C2676" s="120" t="s">
        <v>1139</v>
      </c>
      <c r="D2676" s="189"/>
      <c r="E2676" s="122" t="s">
        <v>1141</v>
      </c>
      <c r="F2676" s="123">
        <f>F2674*2*0.75/27</f>
        <v>8.535555555555554</v>
      </c>
      <c r="G2676" s="124">
        <v>0.1</v>
      </c>
      <c r="H2676" s="125">
        <f t="shared" si="529"/>
        <v>9.3891111111111094</v>
      </c>
      <c r="I2676" s="126" t="s">
        <v>461</v>
      </c>
      <c r="J2676" s="37">
        <f>J$441</f>
        <v>0</v>
      </c>
      <c r="K2676" s="159">
        <f t="shared" si="530"/>
        <v>0</v>
      </c>
      <c r="L2676" s="160"/>
    </row>
    <row r="2677" spans="1:12" s="35" customFormat="1" x14ac:dyDescent="0.2">
      <c r="A2677" s="129">
        <f ca="1">IF(F2677&lt;&gt;"",1+MAX($A$1:A2676),"")</f>
        <v>378</v>
      </c>
      <c r="B2677" s="126" t="s">
        <v>1138</v>
      </c>
      <c r="C2677" s="120" t="s">
        <v>1139</v>
      </c>
      <c r="D2677" s="189"/>
      <c r="E2677" s="122" t="s">
        <v>465</v>
      </c>
      <c r="F2677" s="123">
        <f>F2675-F2676-(F2674*3.14*0.104*0.104*0.25/27)</f>
        <v>25.558352235614809</v>
      </c>
      <c r="G2677" s="124">
        <v>0.1</v>
      </c>
      <c r="H2677" s="125">
        <f t="shared" si="529"/>
        <v>28.114187459176293</v>
      </c>
      <c r="I2677" s="126" t="s">
        <v>461</v>
      </c>
      <c r="J2677" s="37">
        <f>J$275</f>
        <v>0</v>
      </c>
      <c r="K2677" s="159">
        <f t="shared" si="530"/>
        <v>0</v>
      </c>
      <c r="L2677" s="160"/>
    </row>
    <row r="2678" spans="1:12" s="35" customFormat="1" x14ac:dyDescent="0.2">
      <c r="A2678" s="129" t="str">
        <f>IF(F2678&lt;&gt;"",1+MAX($A$1:A2677),"")</f>
        <v/>
      </c>
      <c r="B2678" s="126"/>
      <c r="C2678" s="120"/>
      <c r="D2678" s="120"/>
      <c r="E2678" s="294"/>
      <c r="F2678" s="123"/>
      <c r="G2678" s="124"/>
      <c r="H2678" s="125"/>
      <c r="I2678" s="126"/>
      <c r="J2678" s="293"/>
      <c r="K2678" s="159"/>
      <c r="L2678" s="160"/>
    </row>
    <row r="2679" spans="1:12" s="21" customFormat="1" x14ac:dyDescent="0.2">
      <c r="A2679" s="129">
        <f ca="1">IF(F2679&lt;&gt;"",1+MAX($A$1:A2678),"")</f>
        <v>379</v>
      </c>
      <c r="B2679" s="126" t="s">
        <v>1138</v>
      </c>
      <c r="C2679" s="120" t="s">
        <v>1139</v>
      </c>
      <c r="D2679" s="120"/>
      <c r="E2679" s="122" t="s">
        <v>1143</v>
      </c>
      <c r="F2679" s="123">
        <v>26.15</v>
      </c>
      <c r="G2679" s="124">
        <v>0.1</v>
      </c>
      <c r="H2679" s="125">
        <f>F2679*(1+G2679)</f>
        <v>28.765000000000001</v>
      </c>
      <c r="I2679" s="126" t="s">
        <v>15</v>
      </c>
      <c r="J2679" s="37">
        <v>0</v>
      </c>
      <c r="K2679" s="159">
        <f>J2679*H2679</f>
        <v>0</v>
      </c>
      <c r="L2679" s="160"/>
    </row>
    <row r="2680" spans="1:12" s="35" customFormat="1" x14ac:dyDescent="0.2">
      <c r="A2680" s="129">
        <f ca="1">IF(F2680&lt;&gt;"",1+MAX($A$1:A2679),"")</f>
        <v>380</v>
      </c>
      <c r="B2680" s="126" t="s">
        <v>1138</v>
      </c>
      <c r="C2680" s="120" t="s">
        <v>1139</v>
      </c>
      <c r="D2680" s="189"/>
      <c r="E2680" s="122" t="s">
        <v>464</v>
      </c>
      <c r="F2680" s="123">
        <f>F2679*2*3/27</f>
        <v>5.81111111111111</v>
      </c>
      <c r="G2680" s="124">
        <v>0.1</v>
      </c>
      <c r="H2680" s="125">
        <f t="shared" ref="H2680:H2682" si="531">F2680*(1+G2680)</f>
        <v>6.3922222222222214</v>
      </c>
      <c r="I2680" s="126" t="s">
        <v>461</v>
      </c>
      <c r="J2680" s="37">
        <f>J$274</f>
        <v>0</v>
      </c>
      <c r="K2680" s="159">
        <f t="shared" ref="K2680:K2682" si="532">J2680*H2680</f>
        <v>0</v>
      </c>
      <c r="L2680" s="160"/>
    </row>
    <row r="2681" spans="1:12" s="35" customFormat="1" x14ac:dyDescent="0.2">
      <c r="A2681" s="129">
        <f ca="1">IF(F2681&lt;&gt;"",1+MAX($A$1:A2680),"")</f>
        <v>381</v>
      </c>
      <c r="B2681" s="126" t="s">
        <v>1138</v>
      </c>
      <c r="C2681" s="120" t="s">
        <v>1139</v>
      </c>
      <c r="D2681" s="189"/>
      <c r="E2681" s="122" t="s">
        <v>1141</v>
      </c>
      <c r="F2681" s="123">
        <f>F2679*2*0.75/27</f>
        <v>1.4527777777777775</v>
      </c>
      <c r="G2681" s="124">
        <v>0.1</v>
      </c>
      <c r="H2681" s="125">
        <f t="shared" si="531"/>
        <v>1.5980555555555553</v>
      </c>
      <c r="I2681" s="126" t="s">
        <v>461</v>
      </c>
      <c r="J2681" s="37">
        <f>J$441</f>
        <v>0</v>
      </c>
      <c r="K2681" s="159">
        <f t="shared" si="532"/>
        <v>0</v>
      </c>
      <c r="L2681" s="160"/>
    </row>
    <row r="2682" spans="1:12" s="35" customFormat="1" x14ac:dyDescent="0.2">
      <c r="A2682" s="129">
        <f ca="1">IF(F2682&lt;&gt;"",1+MAX($A$1:A2681),"")</f>
        <v>382</v>
      </c>
      <c r="B2682" s="126" t="s">
        <v>1138</v>
      </c>
      <c r="C2682" s="120" t="s">
        <v>1139</v>
      </c>
      <c r="D2682" s="189"/>
      <c r="E2682" s="122" t="s">
        <v>465</v>
      </c>
      <c r="F2682" s="123">
        <f>F2680-F2681-(F2679*3.14*0.084*0.084*0.25/27)</f>
        <v>4.3529687479999994</v>
      </c>
      <c r="G2682" s="124">
        <v>0.1</v>
      </c>
      <c r="H2682" s="125">
        <f t="shared" si="531"/>
        <v>4.7882656228</v>
      </c>
      <c r="I2682" s="126" t="s">
        <v>461</v>
      </c>
      <c r="J2682" s="37">
        <f>J$275</f>
        <v>0</v>
      </c>
      <c r="K2682" s="159">
        <f t="shared" si="532"/>
        <v>0</v>
      </c>
      <c r="L2682" s="160"/>
    </row>
    <row r="2683" spans="1:12" s="35" customFormat="1" x14ac:dyDescent="0.2">
      <c r="A2683" s="129" t="str">
        <f>IF(F2683&lt;&gt;"",1+MAX($A$1:A2682),"")</f>
        <v/>
      </c>
      <c r="B2683" s="126"/>
      <c r="C2683" s="120"/>
      <c r="D2683" s="189"/>
      <c r="E2683" s="122"/>
      <c r="F2683" s="123"/>
      <c r="G2683" s="124"/>
      <c r="H2683" s="125"/>
      <c r="I2683" s="126"/>
      <c r="J2683" s="293"/>
      <c r="K2683" s="159"/>
      <c r="L2683" s="160"/>
    </row>
    <row r="2684" spans="1:12" s="21" customFormat="1" x14ac:dyDescent="0.2">
      <c r="A2684" s="129">
        <f ca="1">IF(F2684&lt;&gt;"",1+MAX($A$1:A2683),"")</f>
        <v>383</v>
      </c>
      <c r="B2684" s="126" t="s">
        <v>1138</v>
      </c>
      <c r="C2684" s="120" t="s">
        <v>1139</v>
      </c>
      <c r="D2684" s="120"/>
      <c r="E2684" s="122" t="s">
        <v>1144</v>
      </c>
      <c r="F2684" s="123">
        <f>289</f>
        <v>289</v>
      </c>
      <c r="G2684" s="124">
        <v>0.1</v>
      </c>
      <c r="H2684" s="125">
        <f>F2684*(1+G2684)</f>
        <v>317.90000000000003</v>
      </c>
      <c r="I2684" s="126" t="s">
        <v>15</v>
      </c>
      <c r="J2684" s="37">
        <f>J$590</f>
        <v>0</v>
      </c>
      <c r="K2684" s="159">
        <f>J2684*H2684</f>
        <v>0</v>
      </c>
      <c r="L2684" s="160"/>
    </row>
    <row r="2685" spans="1:12" s="35" customFormat="1" x14ac:dyDescent="0.2">
      <c r="A2685" s="129">
        <f ca="1">IF(F2685&lt;&gt;"",1+MAX($A$1:A2684),"")</f>
        <v>384</v>
      </c>
      <c r="B2685" s="126" t="s">
        <v>1138</v>
      </c>
      <c r="C2685" s="120" t="s">
        <v>1139</v>
      </c>
      <c r="D2685" s="189"/>
      <c r="E2685" s="122" t="s">
        <v>464</v>
      </c>
      <c r="F2685" s="123">
        <f>F2684*2*3/27</f>
        <v>64.222222222222229</v>
      </c>
      <c r="G2685" s="124">
        <v>0.1</v>
      </c>
      <c r="H2685" s="125">
        <f t="shared" ref="H2685:H2687" si="533">F2685*(1+G2685)</f>
        <v>70.64444444444446</v>
      </c>
      <c r="I2685" s="126" t="s">
        <v>461</v>
      </c>
      <c r="J2685" s="37">
        <f>J$274</f>
        <v>0</v>
      </c>
      <c r="K2685" s="159">
        <f t="shared" ref="K2685:K2687" si="534">J2685*H2685</f>
        <v>0</v>
      </c>
      <c r="L2685" s="160"/>
    </row>
    <row r="2686" spans="1:12" s="35" customFormat="1" x14ac:dyDescent="0.2">
      <c r="A2686" s="129">
        <f ca="1">IF(F2686&lt;&gt;"",1+MAX($A$1:A2685),"")</f>
        <v>385</v>
      </c>
      <c r="B2686" s="126" t="s">
        <v>1138</v>
      </c>
      <c r="C2686" s="120" t="s">
        <v>1139</v>
      </c>
      <c r="D2686" s="189"/>
      <c r="E2686" s="122" t="s">
        <v>1141</v>
      </c>
      <c r="F2686" s="123">
        <f>F2684*2*0.75/27</f>
        <v>16.055555555555557</v>
      </c>
      <c r="G2686" s="124">
        <v>0.1</v>
      </c>
      <c r="H2686" s="125">
        <f t="shared" si="533"/>
        <v>17.661111111111115</v>
      </c>
      <c r="I2686" s="126" t="s">
        <v>461</v>
      </c>
      <c r="J2686" s="37">
        <f>J$441</f>
        <v>0</v>
      </c>
      <c r="K2686" s="159">
        <f t="shared" si="534"/>
        <v>0</v>
      </c>
      <c r="L2686" s="160"/>
    </row>
    <row r="2687" spans="1:12" s="35" customFormat="1" x14ac:dyDescent="0.2">
      <c r="A2687" s="129">
        <f ca="1">IF(F2687&lt;&gt;"",1+MAX($A$1:A2686),"")</f>
        <v>386</v>
      </c>
      <c r="B2687" s="126" t="s">
        <v>1138</v>
      </c>
      <c r="C2687" s="120" t="s">
        <v>1139</v>
      </c>
      <c r="D2687" s="189"/>
      <c r="E2687" s="122" t="s">
        <v>465</v>
      </c>
      <c r="F2687" s="123">
        <f>F2685-F2686-(F2684*3.14*0.084*0.084*0.25/27)</f>
        <v>48.107379280000004</v>
      </c>
      <c r="G2687" s="124">
        <v>0.1</v>
      </c>
      <c r="H2687" s="125">
        <f t="shared" si="533"/>
        <v>52.918117208000005</v>
      </c>
      <c r="I2687" s="126" t="s">
        <v>461</v>
      </c>
      <c r="J2687" s="37">
        <f>J$275</f>
        <v>0</v>
      </c>
      <c r="K2687" s="159">
        <f t="shared" si="534"/>
        <v>0</v>
      </c>
      <c r="L2687" s="160"/>
    </row>
    <row r="2688" spans="1:12" s="35" customFormat="1" x14ac:dyDescent="0.2">
      <c r="A2688" s="129" t="str">
        <f>IF(F2688&lt;&gt;"",1+MAX($A$1:A2687),"")</f>
        <v/>
      </c>
      <c r="B2688" s="126"/>
      <c r="C2688" s="120"/>
      <c r="D2688" s="120"/>
      <c r="E2688" s="122"/>
      <c r="F2688" s="123"/>
      <c r="G2688" s="124"/>
      <c r="H2688" s="125"/>
      <c r="I2688" s="126"/>
      <c r="J2688" s="293"/>
      <c r="K2688" s="159"/>
      <c r="L2688" s="160"/>
    </row>
    <row r="2689" spans="1:12" s="35" customFormat="1" x14ac:dyDescent="0.2">
      <c r="A2689" s="129" t="str">
        <f>IF(F2689&lt;&gt;"",1+MAX($A$1:A2688),"")</f>
        <v/>
      </c>
      <c r="B2689" s="126"/>
      <c r="C2689" s="120"/>
      <c r="D2689" s="120"/>
      <c r="E2689" s="290" t="s">
        <v>1145</v>
      </c>
      <c r="F2689" s="123"/>
      <c r="G2689" s="124"/>
      <c r="H2689" s="125"/>
      <c r="I2689" s="126"/>
      <c r="J2689" s="293"/>
      <c r="K2689" s="159"/>
      <c r="L2689" s="160"/>
    </row>
    <row r="2690" spans="1:12" s="21" customFormat="1" x14ac:dyDescent="0.2">
      <c r="A2690" s="129">
        <f ca="1">IF(F2690&lt;&gt;"",1+MAX($A$1:A2689),"")</f>
        <v>387</v>
      </c>
      <c r="B2690" s="126" t="s">
        <v>1146</v>
      </c>
      <c r="C2690" s="120"/>
      <c r="D2690" s="120"/>
      <c r="E2690" s="122" t="s">
        <v>1144</v>
      </c>
      <c r="F2690" s="123">
        <v>636.14</v>
      </c>
      <c r="G2690" s="124">
        <v>0.1</v>
      </c>
      <c r="H2690" s="125">
        <f t="shared" ref="H2690:H2692" si="535">F2690*(1+G2690)</f>
        <v>699.75400000000002</v>
      </c>
      <c r="I2690" s="126" t="s">
        <v>15</v>
      </c>
      <c r="J2690" s="37">
        <f t="shared" ref="J2690:J2692" si="536">J$590</f>
        <v>0</v>
      </c>
      <c r="K2690" s="159">
        <f>J2690*H2690</f>
        <v>0</v>
      </c>
      <c r="L2690" s="160"/>
    </row>
    <row r="2691" spans="1:12" s="21" customFormat="1" ht="31.5" x14ac:dyDescent="0.2">
      <c r="A2691" s="129">
        <f ca="1">IF(F2691&lt;&gt;"",1+MAX($A$1:A2690),"")</f>
        <v>388</v>
      </c>
      <c r="B2691" s="126" t="s">
        <v>1147</v>
      </c>
      <c r="C2691" s="120"/>
      <c r="D2691" s="120"/>
      <c r="E2691" s="122" t="s">
        <v>1148</v>
      </c>
      <c r="F2691" s="123">
        <v>374.26</v>
      </c>
      <c r="G2691" s="124">
        <v>0.1</v>
      </c>
      <c r="H2691" s="125">
        <f t="shared" si="535"/>
        <v>411.68600000000004</v>
      </c>
      <c r="I2691" s="126" t="s">
        <v>15</v>
      </c>
      <c r="J2691" s="37">
        <f t="shared" si="536"/>
        <v>0</v>
      </c>
      <c r="K2691" s="159">
        <f>J2691*H2691</f>
        <v>0</v>
      </c>
      <c r="L2691" s="160"/>
    </row>
    <row r="2692" spans="1:12" s="21" customFormat="1" ht="31.5" x14ac:dyDescent="0.2">
      <c r="A2692" s="129">
        <f ca="1">IF(F2692&lt;&gt;"",1+MAX($A$1:A2691),"")</f>
        <v>389</v>
      </c>
      <c r="B2692" s="126" t="s">
        <v>1149</v>
      </c>
      <c r="C2692" s="120"/>
      <c r="D2692" s="120"/>
      <c r="E2692" s="122" t="s">
        <v>1150</v>
      </c>
      <c r="F2692" s="123">
        <v>68.209999999999994</v>
      </c>
      <c r="G2692" s="124">
        <v>0.1</v>
      </c>
      <c r="H2692" s="125">
        <f t="shared" si="535"/>
        <v>75.031000000000006</v>
      </c>
      <c r="I2692" s="126" t="s">
        <v>15</v>
      </c>
      <c r="J2692" s="37">
        <f t="shared" si="536"/>
        <v>0</v>
      </c>
      <c r="K2692" s="159">
        <f>J2692*H2692</f>
        <v>0</v>
      </c>
      <c r="L2692" s="160"/>
    </row>
    <row r="2693" spans="1:12" s="35" customFormat="1" x14ac:dyDescent="0.2">
      <c r="A2693" s="129" t="str">
        <f>IF(F2693&lt;&gt;"",1+MAX($A$1:A2692),"")</f>
        <v/>
      </c>
      <c r="B2693" s="126"/>
      <c r="C2693" s="120"/>
      <c r="D2693" s="120"/>
      <c r="E2693" s="122"/>
      <c r="F2693" s="123"/>
      <c r="G2693" s="124"/>
      <c r="H2693" s="125"/>
      <c r="I2693" s="126"/>
      <c r="J2693" s="293"/>
      <c r="K2693" s="159"/>
      <c r="L2693" s="160"/>
    </row>
    <row r="2694" spans="1:12" s="35" customFormat="1" x14ac:dyDescent="0.2">
      <c r="A2694" s="129" t="str">
        <f>IF(F2694&lt;&gt;"",1+MAX($A$1:A2693),"")</f>
        <v/>
      </c>
      <c r="B2694" s="126"/>
      <c r="C2694" s="120"/>
      <c r="D2694" s="120"/>
      <c r="E2694" s="290" t="s">
        <v>1151</v>
      </c>
      <c r="F2694" s="123"/>
      <c r="G2694" s="124"/>
      <c r="H2694" s="125"/>
      <c r="I2694" s="126"/>
      <c r="J2694" s="293"/>
      <c r="K2694" s="159"/>
      <c r="L2694" s="160"/>
    </row>
    <row r="2695" spans="1:12" s="21" customFormat="1" x14ac:dyDescent="0.2">
      <c r="A2695" s="129">
        <f ca="1">IF(F2695&lt;&gt;"",1+MAX($A$1:A2694),"")</f>
        <v>390</v>
      </c>
      <c r="B2695" s="126" t="s">
        <v>1146</v>
      </c>
      <c r="C2695" s="120"/>
      <c r="D2695" s="120"/>
      <c r="E2695" s="122" t="s">
        <v>1152</v>
      </c>
      <c r="F2695" s="123">
        <v>4514</v>
      </c>
      <c r="G2695" s="124">
        <v>0.1</v>
      </c>
      <c r="H2695" s="125">
        <f t="shared" ref="H2695" si="537">F2695*(1+G2695)</f>
        <v>4965.4000000000005</v>
      </c>
      <c r="I2695" s="126" t="s">
        <v>18</v>
      </c>
      <c r="J2695" s="37">
        <v>0</v>
      </c>
      <c r="K2695" s="159">
        <f>J2695*H2695</f>
        <v>0</v>
      </c>
      <c r="L2695" s="160"/>
    </row>
    <row r="2696" spans="1:12" s="35" customFormat="1" x14ac:dyDescent="0.2">
      <c r="A2696" s="129" t="str">
        <f>IF(F2696&lt;&gt;"",1+MAX($A$1:A2695),"")</f>
        <v/>
      </c>
      <c r="B2696" s="126"/>
      <c r="C2696" s="120"/>
      <c r="D2696" s="120"/>
      <c r="E2696" s="122"/>
      <c r="F2696" s="123"/>
      <c r="G2696" s="124"/>
      <c r="H2696" s="125"/>
      <c r="I2696" s="126"/>
      <c r="J2696" s="293"/>
      <c r="K2696" s="159"/>
      <c r="L2696" s="160"/>
    </row>
    <row r="2697" spans="1:12" s="35" customFormat="1" x14ac:dyDescent="0.2">
      <c r="A2697" s="129" t="str">
        <f>IF(F2697&lt;&gt;"",1+MAX($A$1:A2696),"")</f>
        <v/>
      </c>
      <c r="B2697" s="126"/>
      <c r="C2697" s="120"/>
      <c r="D2697" s="120"/>
      <c r="E2697" s="290" t="s">
        <v>364</v>
      </c>
      <c r="F2697" s="123"/>
      <c r="G2697" s="124"/>
      <c r="H2697" s="125"/>
      <c r="I2697" s="126"/>
      <c r="J2697" s="23"/>
      <c r="K2697" s="159"/>
      <c r="L2697" s="160"/>
    </row>
    <row r="2698" spans="1:12" s="21" customFormat="1" x14ac:dyDescent="0.2">
      <c r="A2698" s="129">
        <f ca="1">IF(F2698&lt;&gt;"",1+MAX($A$1:A2697),"")</f>
        <v>391</v>
      </c>
      <c r="B2698" s="126" t="s">
        <v>1138</v>
      </c>
      <c r="C2698" s="120"/>
      <c r="D2698" s="120"/>
      <c r="E2698" s="122" t="s">
        <v>1153</v>
      </c>
      <c r="F2698" s="123">
        <v>76.739999999999995</v>
      </c>
      <c r="G2698" s="124">
        <v>0.1</v>
      </c>
      <c r="H2698" s="125">
        <f t="shared" ref="H2698:H2726" si="538">F2698*(1+G2698)</f>
        <v>84.414000000000001</v>
      </c>
      <c r="I2698" s="126" t="s">
        <v>15</v>
      </c>
      <c r="J2698" s="37">
        <v>0</v>
      </c>
      <c r="K2698" s="159">
        <f t="shared" ref="K2698:K2726" si="539">J2698*H2698</f>
        <v>0</v>
      </c>
      <c r="L2698" s="160"/>
    </row>
    <row r="2699" spans="1:12" s="21" customFormat="1" x14ac:dyDescent="0.2">
      <c r="A2699" s="129">
        <f ca="1">IF(F2699&lt;&gt;"",1+MAX($A$1:A2698),"")</f>
        <v>392</v>
      </c>
      <c r="B2699" s="126" t="s">
        <v>1138</v>
      </c>
      <c r="C2699" s="120"/>
      <c r="D2699" s="120"/>
      <c r="E2699" s="122" t="s">
        <v>1154</v>
      </c>
      <c r="F2699" s="123">
        <v>7</v>
      </c>
      <c r="G2699" s="124">
        <v>0</v>
      </c>
      <c r="H2699" s="125">
        <f t="shared" si="538"/>
        <v>7</v>
      </c>
      <c r="I2699" s="126" t="s">
        <v>20</v>
      </c>
      <c r="J2699" s="37">
        <v>0</v>
      </c>
      <c r="K2699" s="159">
        <f t="shared" si="539"/>
        <v>0</v>
      </c>
      <c r="L2699" s="160"/>
    </row>
    <row r="2700" spans="1:12" s="21" customFormat="1" x14ac:dyDescent="0.2">
      <c r="A2700" s="129">
        <f ca="1">IF(F2700&lt;&gt;"",1+MAX($A$1:A2699),"")</f>
        <v>393</v>
      </c>
      <c r="B2700" s="126" t="s">
        <v>1155</v>
      </c>
      <c r="C2700" s="120"/>
      <c r="D2700" s="120"/>
      <c r="E2700" s="122" t="s">
        <v>1156</v>
      </c>
      <c r="F2700" s="123">
        <v>8</v>
      </c>
      <c r="G2700" s="124">
        <v>0</v>
      </c>
      <c r="H2700" s="125">
        <f t="shared" si="538"/>
        <v>8</v>
      </c>
      <c r="I2700" s="126" t="s">
        <v>20</v>
      </c>
      <c r="J2700" s="37">
        <v>0</v>
      </c>
      <c r="K2700" s="159">
        <f t="shared" si="539"/>
        <v>0</v>
      </c>
      <c r="L2700" s="160"/>
    </row>
    <row r="2701" spans="1:12" s="21" customFormat="1" x14ac:dyDescent="0.2">
      <c r="A2701" s="129">
        <f ca="1">IF(F2701&lt;&gt;"",1+MAX($A$1:A2700),"")</f>
        <v>394</v>
      </c>
      <c r="B2701" s="126" t="s">
        <v>1138</v>
      </c>
      <c r="C2701" s="120"/>
      <c r="D2701" s="120"/>
      <c r="E2701" s="122" t="s">
        <v>1157</v>
      </c>
      <c r="F2701" s="123">
        <v>1</v>
      </c>
      <c r="G2701" s="124">
        <v>0</v>
      </c>
      <c r="H2701" s="125">
        <f t="shared" si="538"/>
        <v>1</v>
      </c>
      <c r="I2701" s="126" t="s">
        <v>20</v>
      </c>
      <c r="J2701" s="37">
        <v>0</v>
      </c>
      <c r="K2701" s="159">
        <f t="shared" si="539"/>
        <v>0</v>
      </c>
      <c r="L2701" s="160"/>
    </row>
    <row r="2702" spans="1:12" s="21" customFormat="1" x14ac:dyDescent="0.2">
      <c r="A2702" s="129">
        <f ca="1">IF(F2702&lt;&gt;"",1+MAX($A$1:A2701),"")</f>
        <v>395</v>
      </c>
      <c r="B2702" s="126" t="s">
        <v>1158</v>
      </c>
      <c r="C2702" s="120"/>
      <c r="D2702" s="120"/>
      <c r="E2702" s="122" t="s">
        <v>1159</v>
      </c>
      <c r="F2702" s="123">
        <v>9</v>
      </c>
      <c r="G2702" s="124">
        <v>0</v>
      </c>
      <c r="H2702" s="125">
        <f t="shared" si="538"/>
        <v>9</v>
      </c>
      <c r="I2702" s="126" t="s">
        <v>20</v>
      </c>
      <c r="J2702" s="37">
        <v>0</v>
      </c>
      <c r="K2702" s="159">
        <f t="shared" si="539"/>
        <v>0</v>
      </c>
      <c r="L2702" s="160"/>
    </row>
    <row r="2703" spans="1:12" s="21" customFormat="1" x14ac:dyDescent="0.2">
      <c r="A2703" s="129">
        <f ca="1">IF(F2703&lt;&gt;"",1+MAX($A$1:A2702),"")</f>
        <v>396</v>
      </c>
      <c r="B2703" s="126" t="s">
        <v>1138</v>
      </c>
      <c r="C2703" s="120"/>
      <c r="D2703" s="120"/>
      <c r="E2703" s="122" t="s">
        <v>1160</v>
      </c>
      <c r="F2703" s="123">
        <v>1</v>
      </c>
      <c r="G2703" s="124">
        <v>0</v>
      </c>
      <c r="H2703" s="125">
        <f t="shared" si="538"/>
        <v>1</v>
      </c>
      <c r="I2703" s="126" t="s">
        <v>20</v>
      </c>
      <c r="J2703" s="37">
        <v>0</v>
      </c>
      <c r="K2703" s="159">
        <f t="shared" si="539"/>
        <v>0</v>
      </c>
      <c r="L2703" s="160"/>
    </row>
    <row r="2704" spans="1:12" s="21" customFormat="1" x14ac:dyDescent="0.2">
      <c r="A2704" s="129">
        <f ca="1">IF(F2704&lt;&gt;"",1+MAX($A$1:A2703),"")</f>
        <v>397</v>
      </c>
      <c r="B2704" s="126" t="s">
        <v>1138</v>
      </c>
      <c r="C2704" s="120"/>
      <c r="D2704" s="120"/>
      <c r="E2704" s="122" t="s">
        <v>1161</v>
      </c>
      <c r="F2704" s="123">
        <v>1</v>
      </c>
      <c r="G2704" s="124">
        <v>0</v>
      </c>
      <c r="H2704" s="125">
        <f t="shared" si="538"/>
        <v>1</v>
      </c>
      <c r="I2704" s="126" t="s">
        <v>20</v>
      </c>
      <c r="J2704" s="37">
        <v>0</v>
      </c>
      <c r="K2704" s="159">
        <f t="shared" si="539"/>
        <v>0</v>
      </c>
      <c r="L2704" s="160"/>
    </row>
    <row r="2705" spans="1:12" s="21" customFormat="1" x14ac:dyDescent="0.2">
      <c r="A2705" s="129">
        <f ca="1">IF(F2705&lt;&gt;"",1+MAX($A$1:A2704),"")</f>
        <v>398</v>
      </c>
      <c r="B2705" s="126" t="s">
        <v>1138</v>
      </c>
      <c r="C2705" s="120"/>
      <c r="D2705" s="120"/>
      <c r="E2705" s="122" t="s">
        <v>1162</v>
      </c>
      <c r="F2705" s="123">
        <v>1</v>
      </c>
      <c r="G2705" s="124">
        <v>0</v>
      </c>
      <c r="H2705" s="125">
        <f t="shared" si="538"/>
        <v>1</v>
      </c>
      <c r="I2705" s="126" t="s">
        <v>20</v>
      </c>
      <c r="J2705" s="37">
        <v>0</v>
      </c>
      <c r="K2705" s="159">
        <f t="shared" si="539"/>
        <v>0</v>
      </c>
      <c r="L2705" s="160"/>
    </row>
    <row r="2706" spans="1:12" s="21" customFormat="1" x14ac:dyDescent="0.2">
      <c r="A2706" s="129">
        <f ca="1">IF(F2706&lt;&gt;"",1+MAX($A$1:A2705),"")</f>
        <v>399</v>
      </c>
      <c r="B2706" s="126" t="s">
        <v>1146</v>
      </c>
      <c r="C2706" s="120"/>
      <c r="D2706" s="120"/>
      <c r="E2706" s="122" t="s">
        <v>1163</v>
      </c>
      <c r="F2706" s="123">
        <v>10</v>
      </c>
      <c r="G2706" s="124">
        <v>0</v>
      </c>
      <c r="H2706" s="125">
        <f t="shared" si="538"/>
        <v>10</v>
      </c>
      <c r="I2706" s="126" t="s">
        <v>20</v>
      </c>
      <c r="J2706" s="37">
        <v>0</v>
      </c>
      <c r="K2706" s="159">
        <f t="shared" si="539"/>
        <v>0</v>
      </c>
      <c r="L2706" s="160"/>
    </row>
    <row r="2707" spans="1:12" s="21" customFormat="1" x14ac:dyDescent="0.2">
      <c r="A2707" s="129">
        <f ca="1">IF(F2707&lt;&gt;"",1+MAX($A$1:A2706),"")</f>
        <v>400</v>
      </c>
      <c r="B2707" s="126" t="s">
        <v>1146</v>
      </c>
      <c r="C2707" s="120"/>
      <c r="D2707" s="120"/>
      <c r="E2707" s="122" t="s">
        <v>1164</v>
      </c>
      <c r="F2707" s="123">
        <v>6</v>
      </c>
      <c r="G2707" s="124">
        <v>0</v>
      </c>
      <c r="H2707" s="125">
        <f t="shared" si="538"/>
        <v>6</v>
      </c>
      <c r="I2707" s="126" t="s">
        <v>20</v>
      </c>
      <c r="J2707" s="37">
        <v>0</v>
      </c>
      <c r="K2707" s="159">
        <f t="shared" si="539"/>
        <v>0</v>
      </c>
      <c r="L2707" s="160"/>
    </row>
    <row r="2708" spans="1:12" s="21" customFormat="1" x14ac:dyDescent="0.2">
      <c r="A2708" s="129">
        <f ca="1">IF(F2708&lt;&gt;"",1+MAX($A$1:A2707),"")</f>
        <v>401</v>
      </c>
      <c r="B2708" s="126" t="s">
        <v>1146</v>
      </c>
      <c r="C2708" s="120"/>
      <c r="D2708" s="120"/>
      <c r="E2708" s="122" t="s">
        <v>1165</v>
      </c>
      <c r="F2708" s="123">
        <v>11</v>
      </c>
      <c r="G2708" s="124">
        <v>0</v>
      </c>
      <c r="H2708" s="125">
        <f t="shared" si="538"/>
        <v>11</v>
      </c>
      <c r="I2708" s="126" t="s">
        <v>20</v>
      </c>
      <c r="J2708" s="37">
        <v>0</v>
      </c>
      <c r="K2708" s="159">
        <f t="shared" si="539"/>
        <v>0</v>
      </c>
      <c r="L2708" s="160"/>
    </row>
    <row r="2709" spans="1:12" s="21" customFormat="1" x14ac:dyDescent="0.2">
      <c r="A2709" s="129">
        <f ca="1">IF(F2709&lt;&gt;"",1+MAX($A$1:A2708),"")</f>
        <v>402</v>
      </c>
      <c r="B2709" s="126" t="s">
        <v>1146</v>
      </c>
      <c r="C2709" s="120"/>
      <c r="D2709" s="120"/>
      <c r="E2709" s="122" t="s">
        <v>1166</v>
      </c>
      <c r="F2709" s="123">
        <v>46</v>
      </c>
      <c r="G2709" s="124">
        <v>0</v>
      </c>
      <c r="H2709" s="125">
        <f t="shared" si="538"/>
        <v>46</v>
      </c>
      <c r="I2709" s="126" t="s">
        <v>20</v>
      </c>
      <c r="J2709" s="37">
        <v>0</v>
      </c>
      <c r="K2709" s="159">
        <f t="shared" si="539"/>
        <v>0</v>
      </c>
      <c r="L2709" s="160"/>
    </row>
    <row r="2710" spans="1:12" s="21" customFormat="1" x14ac:dyDescent="0.2">
      <c r="A2710" s="129">
        <f ca="1">IF(F2710&lt;&gt;"",1+MAX($A$1:A2709),"")</f>
        <v>403</v>
      </c>
      <c r="B2710" s="126" t="s">
        <v>1138</v>
      </c>
      <c r="C2710" s="120"/>
      <c r="D2710" s="120"/>
      <c r="E2710" s="122" t="s">
        <v>1167</v>
      </c>
      <c r="F2710" s="123">
        <v>1</v>
      </c>
      <c r="G2710" s="124">
        <v>0</v>
      </c>
      <c r="H2710" s="125">
        <f t="shared" si="538"/>
        <v>1</v>
      </c>
      <c r="I2710" s="126" t="s">
        <v>20</v>
      </c>
      <c r="J2710" s="37">
        <v>0</v>
      </c>
      <c r="K2710" s="159">
        <f t="shared" si="539"/>
        <v>0</v>
      </c>
      <c r="L2710" s="160"/>
    </row>
    <row r="2711" spans="1:12" s="21" customFormat="1" x14ac:dyDescent="0.2">
      <c r="A2711" s="129">
        <f ca="1">IF(F2711&lt;&gt;"",1+MAX($A$1:A2710),"")</f>
        <v>404</v>
      </c>
      <c r="B2711" s="126" t="s">
        <v>1158</v>
      </c>
      <c r="C2711" s="120"/>
      <c r="D2711" s="120"/>
      <c r="E2711" s="122" t="s">
        <v>1168</v>
      </c>
      <c r="F2711" s="123">
        <v>22</v>
      </c>
      <c r="G2711" s="124">
        <v>0</v>
      </c>
      <c r="H2711" s="125">
        <f t="shared" si="538"/>
        <v>22</v>
      </c>
      <c r="I2711" s="126" t="s">
        <v>20</v>
      </c>
      <c r="J2711" s="37">
        <v>0</v>
      </c>
      <c r="K2711" s="159">
        <f t="shared" si="539"/>
        <v>0</v>
      </c>
      <c r="L2711" s="160"/>
    </row>
    <row r="2712" spans="1:12" s="21" customFormat="1" x14ac:dyDescent="0.2">
      <c r="A2712" s="129">
        <f ca="1">IF(F2712&lt;&gt;"",1+MAX($A$1:A2711),"")</f>
        <v>405</v>
      </c>
      <c r="B2712" s="126" t="s">
        <v>1155</v>
      </c>
      <c r="C2712" s="120"/>
      <c r="D2712" s="120"/>
      <c r="E2712" s="122" t="s">
        <v>1169</v>
      </c>
      <c r="F2712" s="123">
        <v>8</v>
      </c>
      <c r="G2712" s="124">
        <v>0</v>
      </c>
      <c r="H2712" s="125">
        <f t="shared" si="538"/>
        <v>8</v>
      </c>
      <c r="I2712" s="126" t="s">
        <v>20</v>
      </c>
      <c r="J2712" s="37">
        <v>0</v>
      </c>
      <c r="K2712" s="159">
        <f t="shared" si="539"/>
        <v>0</v>
      </c>
      <c r="L2712" s="160"/>
    </row>
    <row r="2713" spans="1:12" s="21" customFormat="1" x14ac:dyDescent="0.2">
      <c r="A2713" s="129">
        <f ca="1">IF(F2713&lt;&gt;"",1+MAX($A$1:A2712),"")</f>
        <v>406</v>
      </c>
      <c r="B2713" s="126" t="s">
        <v>1158</v>
      </c>
      <c r="C2713" s="120"/>
      <c r="D2713" s="120"/>
      <c r="E2713" s="122" t="s">
        <v>1170</v>
      </c>
      <c r="F2713" s="123">
        <v>7</v>
      </c>
      <c r="G2713" s="124">
        <v>0</v>
      </c>
      <c r="H2713" s="125">
        <f t="shared" si="538"/>
        <v>7</v>
      </c>
      <c r="I2713" s="126" t="s">
        <v>20</v>
      </c>
      <c r="J2713" s="37">
        <v>0</v>
      </c>
      <c r="K2713" s="159">
        <f t="shared" si="539"/>
        <v>0</v>
      </c>
      <c r="L2713" s="160"/>
    </row>
    <row r="2714" spans="1:12" s="21" customFormat="1" x14ac:dyDescent="0.2">
      <c r="A2714" s="129">
        <f ca="1">IF(F2714&lt;&gt;"",1+MAX($A$1:A2713),"")</f>
        <v>407</v>
      </c>
      <c r="B2714" s="126" t="s">
        <v>1158</v>
      </c>
      <c r="C2714" s="120"/>
      <c r="D2714" s="120"/>
      <c r="E2714" s="122" t="s">
        <v>1171</v>
      </c>
      <c r="F2714" s="123">
        <v>27</v>
      </c>
      <c r="G2714" s="124">
        <v>0</v>
      </c>
      <c r="H2714" s="125">
        <f t="shared" si="538"/>
        <v>27</v>
      </c>
      <c r="I2714" s="126" t="s">
        <v>20</v>
      </c>
      <c r="J2714" s="37">
        <v>0</v>
      </c>
      <c r="K2714" s="159">
        <f t="shared" si="539"/>
        <v>0</v>
      </c>
      <c r="L2714" s="160"/>
    </row>
    <row r="2715" spans="1:12" s="21" customFormat="1" x14ac:dyDescent="0.2">
      <c r="A2715" s="129">
        <f ca="1">IF(F2715&lt;&gt;"",1+MAX($A$1:A2714),"")</f>
        <v>408</v>
      </c>
      <c r="B2715" s="126" t="s">
        <v>1146</v>
      </c>
      <c r="C2715" s="120"/>
      <c r="D2715" s="120"/>
      <c r="E2715" s="122" t="s">
        <v>1172</v>
      </c>
      <c r="F2715" s="123">
        <v>62</v>
      </c>
      <c r="G2715" s="124">
        <v>0</v>
      </c>
      <c r="H2715" s="125">
        <f t="shared" si="538"/>
        <v>62</v>
      </c>
      <c r="I2715" s="126" t="s">
        <v>20</v>
      </c>
      <c r="J2715" s="37">
        <v>0</v>
      </c>
      <c r="K2715" s="159">
        <f t="shared" si="539"/>
        <v>0</v>
      </c>
      <c r="L2715" s="160"/>
    </row>
    <row r="2716" spans="1:12" s="21" customFormat="1" x14ac:dyDescent="0.2">
      <c r="A2716" s="129">
        <f ca="1">IF(F2716&lt;&gt;"",1+MAX($A$1:A2715),"")</f>
        <v>409</v>
      </c>
      <c r="B2716" s="126" t="s">
        <v>1158</v>
      </c>
      <c r="C2716" s="120"/>
      <c r="D2716" s="120"/>
      <c r="E2716" s="122" t="s">
        <v>1173</v>
      </c>
      <c r="F2716" s="123">
        <v>16</v>
      </c>
      <c r="G2716" s="124">
        <v>0</v>
      </c>
      <c r="H2716" s="125">
        <f t="shared" si="538"/>
        <v>16</v>
      </c>
      <c r="I2716" s="126" t="s">
        <v>20</v>
      </c>
      <c r="J2716" s="37">
        <v>0</v>
      </c>
      <c r="K2716" s="159">
        <f t="shared" si="539"/>
        <v>0</v>
      </c>
      <c r="L2716" s="160"/>
    </row>
    <row r="2717" spans="1:12" s="21" customFormat="1" x14ac:dyDescent="0.2">
      <c r="A2717" s="129">
        <f ca="1">IF(F2717&lt;&gt;"",1+MAX($A$1:A2716),"")</f>
        <v>410</v>
      </c>
      <c r="B2717" s="126" t="s">
        <v>1138</v>
      </c>
      <c r="C2717" s="120"/>
      <c r="D2717" s="120"/>
      <c r="E2717" s="122" t="s">
        <v>1174</v>
      </c>
      <c r="F2717" s="123">
        <v>1</v>
      </c>
      <c r="G2717" s="124">
        <v>0</v>
      </c>
      <c r="H2717" s="125">
        <f t="shared" si="538"/>
        <v>1</v>
      </c>
      <c r="I2717" s="126" t="s">
        <v>20</v>
      </c>
      <c r="J2717" s="37">
        <v>0</v>
      </c>
      <c r="K2717" s="159">
        <f t="shared" si="539"/>
        <v>0</v>
      </c>
      <c r="L2717" s="160"/>
    </row>
    <row r="2718" spans="1:12" s="21" customFormat="1" x14ac:dyDescent="0.2">
      <c r="A2718" s="129">
        <f ca="1">IF(F2718&lt;&gt;"",1+MAX($A$1:A2717),"")</f>
        <v>411</v>
      </c>
      <c r="B2718" s="126" t="s">
        <v>1155</v>
      </c>
      <c r="C2718" s="120"/>
      <c r="D2718" s="120"/>
      <c r="E2718" s="122" t="s">
        <v>1175</v>
      </c>
      <c r="F2718" s="123">
        <v>6</v>
      </c>
      <c r="G2718" s="124">
        <v>0</v>
      </c>
      <c r="H2718" s="125">
        <f t="shared" si="538"/>
        <v>6</v>
      </c>
      <c r="I2718" s="126" t="s">
        <v>20</v>
      </c>
      <c r="J2718" s="37">
        <v>0</v>
      </c>
      <c r="K2718" s="159">
        <f t="shared" si="539"/>
        <v>0</v>
      </c>
      <c r="L2718" s="160"/>
    </row>
    <row r="2719" spans="1:12" s="21" customFormat="1" x14ac:dyDescent="0.2">
      <c r="A2719" s="129">
        <f ca="1">IF(F2719&lt;&gt;"",1+MAX($A$1:A2718),"")</f>
        <v>412</v>
      </c>
      <c r="B2719" s="126" t="s">
        <v>1010</v>
      </c>
      <c r="C2719" s="120"/>
      <c r="D2719" s="120"/>
      <c r="E2719" s="122" t="s">
        <v>1176</v>
      </c>
      <c r="F2719" s="123">
        <v>1</v>
      </c>
      <c r="G2719" s="124">
        <v>0</v>
      </c>
      <c r="H2719" s="125">
        <f t="shared" si="538"/>
        <v>1</v>
      </c>
      <c r="I2719" s="126" t="s">
        <v>20</v>
      </c>
      <c r="J2719" s="37">
        <v>0</v>
      </c>
      <c r="K2719" s="159">
        <f t="shared" si="539"/>
        <v>0</v>
      </c>
      <c r="L2719" s="160"/>
    </row>
    <row r="2720" spans="1:12" s="21" customFormat="1" x14ac:dyDescent="0.2">
      <c r="A2720" s="129">
        <f ca="1">IF(F2720&lt;&gt;"",1+MAX($A$1:A2719),"")</f>
        <v>413</v>
      </c>
      <c r="B2720" s="126" t="s">
        <v>1010</v>
      </c>
      <c r="C2720" s="120"/>
      <c r="D2720" s="120"/>
      <c r="E2720" s="122" t="s">
        <v>1177</v>
      </c>
      <c r="F2720" s="123">
        <v>1</v>
      </c>
      <c r="G2720" s="124">
        <v>0</v>
      </c>
      <c r="H2720" s="125">
        <f t="shared" si="538"/>
        <v>1</v>
      </c>
      <c r="I2720" s="126" t="s">
        <v>20</v>
      </c>
      <c r="J2720" s="37">
        <v>0</v>
      </c>
      <c r="K2720" s="159">
        <f t="shared" si="539"/>
        <v>0</v>
      </c>
      <c r="L2720" s="160"/>
    </row>
    <row r="2721" spans="1:12" s="21" customFormat="1" x14ac:dyDescent="0.2">
      <c r="A2721" s="129">
        <f ca="1">IF(F2721&lt;&gt;"",1+MAX($A$1:A2720),"")</f>
        <v>414</v>
      </c>
      <c r="B2721" s="126" t="s">
        <v>1010</v>
      </c>
      <c r="C2721" s="120"/>
      <c r="D2721" s="120"/>
      <c r="E2721" s="122" t="s">
        <v>1178</v>
      </c>
      <c r="F2721" s="123">
        <v>1</v>
      </c>
      <c r="G2721" s="124">
        <v>0</v>
      </c>
      <c r="H2721" s="125">
        <f t="shared" si="538"/>
        <v>1</v>
      </c>
      <c r="I2721" s="126" t="s">
        <v>20</v>
      </c>
      <c r="J2721" s="37">
        <v>0</v>
      </c>
      <c r="K2721" s="159">
        <f t="shared" si="539"/>
        <v>0</v>
      </c>
      <c r="L2721" s="160"/>
    </row>
    <row r="2722" spans="1:12" s="35" customFormat="1" x14ac:dyDescent="0.2">
      <c r="A2722" s="129" t="str">
        <f>IF(F2722&lt;&gt;"",1+MAX($A$1:A2721),"")</f>
        <v/>
      </c>
      <c r="B2722" s="126"/>
      <c r="C2722" s="120"/>
      <c r="D2722" s="120"/>
      <c r="E2722" s="122"/>
      <c r="F2722" s="123"/>
      <c r="G2722" s="124"/>
      <c r="H2722" s="125"/>
      <c r="I2722" s="126"/>
      <c r="J2722" s="293"/>
      <c r="K2722" s="159"/>
      <c r="L2722" s="160"/>
    </row>
    <row r="2723" spans="1:12" s="21" customFormat="1" x14ac:dyDescent="0.2">
      <c r="A2723" s="129">
        <f ca="1">IF(F2723&lt;&gt;"",1+MAX($A$1:A2722),"")</f>
        <v>415</v>
      </c>
      <c r="B2723" s="126" t="s">
        <v>1179</v>
      </c>
      <c r="C2723" s="120"/>
      <c r="D2723" s="120"/>
      <c r="E2723" s="122" t="s">
        <v>1180</v>
      </c>
      <c r="F2723" s="123">
        <v>525.16999999999996</v>
      </c>
      <c r="G2723" s="124">
        <v>0.1</v>
      </c>
      <c r="H2723" s="125">
        <f t="shared" si="538"/>
        <v>577.68700000000001</v>
      </c>
      <c r="I2723" s="126" t="s">
        <v>15</v>
      </c>
      <c r="J2723" s="37">
        <v>0</v>
      </c>
      <c r="K2723" s="159">
        <f t="shared" si="539"/>
        <v>0</v>
      </c>
      <c r="L2723" s="160"/>
    </row>
    <row r="2724" spans="1:12" s="21" customFormat="1" x14ac:dyDescent="0.2">
      <c r="A2724" s="129">
        <f ca="1">IF(F2724&lt;&gt;"",1+MAX($A$1:A2723),"")</f>
        <v>416</v>
      </c>
      <c r="B2724" s="126" t="s">
        <v>1181</v>
      </c>
      <c r="C2724" s="120"/>
      <c r="D2724" s="120"/>
      <c r="E2724" s="122" t="s">
        <v>1182</v>
      </c>
      <c r="F2724" s="123">
        <v>351.93</v>
      </c>
      <c r="G2724" s="124">
        <v>0.1</v>
      </c>
      <c r="H2724" s="125">
        <f t="shared" si="538"/>
        <v>387.12300000000005</v>
      </c>
      <c r="I2724" s="126" t="s">
        <v>15</v>
      </c>
      <c r="J2724" s="37">
        <v>0</v>
      </c>
      <c r="K2724" s="159">
        <f t="shared" si="539"/>
        <v>0</v>
      </c>
      <c r="L2724" s="160"/>
    </row>
    <row r="2725" spans="1:12" s="21" customFormat="1" x14ac:dyDescent="0.2">
      <c r="A2725" s="129">
        <f ca="1">IF(F2725&lt;&gt;"",1+MAX($A$1:A2724),"")</f>
        <v>417</v>
      </c>
      <c r="B2725" s="126" t="s">
        <v>1183</v>
      </c>
      <c r="C2725" s="120"/>
      <c r="D2725" s="120"/>
      <c r="E2725" s="122" t="s">
        <v>1184</v>
      </c>
      <c r="F2725" s="123">
        <v>301.37</v>
      </c>
      <c r="G2725" s="124">
        <v>0.1</v>
      </c>
      <c r="H2725" s="125">
        <f t="shared" si="538"/>
        <v>331.50700000000001</v>
      </c>
      <c r="I2725" s="126" t="s">
        <v>15</v>
      </c>
      <c r="J2725" s="37">
        <v>0</v>
      </c>
      <c r="K2725" s="159">
        <f t="shared" si="539"/>
        <v>0</v>
      </c>
      <c r="L2725" s="160"/>
    </row>
    <row r="2726" spans="1:12" s="21" customFormat="1" x14ac:dyDescent="0.2">
      <c r="A2726" s="129">
        <f ca="1">IF(F2726&lt;&gt;"",1+MAX($A$1:A2725),"")</f>
        <v>418</v>
      </c>
      <c r="B2726" s="126" t="s">
        <v>1185</v>
      </c>
      <c r="C2726" s="120"/>
      <c r="D2726" s="120"/>
      <c r="E2726" s="122" t="s">
        <v>1186</v>
      </c>
      <c r="F2726" s="123">
        <v>228.08</v>
      </c>
      <c r="G2726" s="124">
        <v>0.1</v>
      </c>
      <c r="H2726" s="125">
        <f t="shared" si="538"/>
        <v>250.88800000000003</v>
      </c>
      <c r="I2726" s="126" t="s">
        <v>15</v>
      </c>
      <c r="J2726" s="37">
        <v>0</v>
      </c>
      <c r="K2726" s="159">
        <f t="shared" si="539"/>
        <v>0</v>
      </c>
      <c r="L2726" s="160"/>
    </row>
    <row r="2727" spans="1:12" s="21" customFormat="1" x14ac:dyDescent="0.2">
      <c r="A2727" s="129" t="str">
        <f>IF(F2727&lt;&gt;"",1+MAX($A$1:A2726),"")</f>
        <v/>
      </c>
      <c r="B2727" s="126"/>
      <c r="C2727" s="120"/>
      <c r="D2727" s="189"/>
      <c r="E2727" s="296"/>
      <c r="F2727" s="125"/>
      <c r="G2727" s="184"/>
      <c r="H2727" s="125"/>
      <c r="I2727" s="126"/>
      <c r="J2727" s="127"/>
      <c r="K2727" s="159"/>
      <c r="L2727" s="212"/>
    </row>
    <row r="2728" spans="1:12" s="21" customFormat="1" x14ac:dyDescent="0.2">
      <c r="A2728" s="129" t="str">
        <f>IF(F2728&lt;&gt;"",1+MAX($A$1:A2727),"")</f>
        <v/>
      </c>
      <c r="B2728" s="120"/>
      <c r="C2728" s="120"/>
      <c r="D2728" s="189"/>
      <c r="E2728" s="190" t="s">
        <v>1187</v>
      </c>
      <c r="F2728" s="123"/>
      <c r="G2728" s="184"/>
      <c r="H2728" s="125"/>
      <c r="I2728" s="126"/>
      <c r="J2728" s="127"/>
      <c r="K2728" s="105"/>
      <c r="L2728" s="11">
        <f>SUM(K2566:K2727)</f>
        <v>0</v>
      </c>
    </row>
    <row r="2729" spans="1:12" s="35" customFormat="1" x14ac:dyDescent="0.2">
      <c r="A2729" s="129" t="str">
        <f>IF(F2729&lt;&gt;"",1+MAX($A$1:A2728),"")</f>
        <v/>
      </c>
      <c r="B2729" s="126"/>
      <c r="C2729" s="120"/>
      <c r="D2729" s="120"/>
      <c r="E2729" s="122"/>
      <c r="F2729" s="123"/>
      <c r="G2729" s="124"/>
      <c r="H2729" s="125"/>
      <c r="I2729" s="126"/>
      <c r="J2729" s="293"/>
      <c r="K2729" s="159"/>
      <c r="L2729" s="160"/>
    </row>
    <row r="2730" spans="1:12" s="35" customFormat="1" x14ac:dyDescent="0.2">
      <c r="A2730" s="129" t="str">
        <f>IF(F2730&lt;&gt;"",1+MAX($A$1:A2729),"")</f>
        <v/>
      </c>
      <c r="B2730" s="126"/>
      <c r="C2730" s="120"/>
      <c r="D2730" s="120"/>
      <c r="E2730" s="172" t="s">
        <v>1188</v>
      </c>
      <c r="F2730" s="123"/>
      <c r="G2730" s="124"/>
      <c r="H2730" s="125"/>
      <c r="I2730" s="126"/>
      <c r="J2730" s="23"/>
      <c r="K2730" s="159"/>
      <c r="L2730" s="160"/>
    </row>
    <row r="2731" spans="1:12" s="21" customFormat="1" x14ac:dyDescent="0.2">
      <c r="A2731" s="129">
        <f ca="1">IF(F2731&lt;&gt;"",1+MAX($A$1:A2730),"")</f>
        <v>419</v>
      </c>
      <c r="B2731" s="126" t="s">
        <v>835</v>
      </c>
      <c r="C2731" s="120"/>
      <c r="D2731" s="120"/>
      <c r="E2731" s="122" t="s">
        <v>1189</v>
      </c>
      <c r="F2731" s="123">
        <v>2</v>
      </c>
      <c r="G2731" s="124">
        <v>0</v>
      </c>
      <c r="H2731" s="125">
        <f>F2731*(1+G2731)</f>
        <v>2</v>
      </c>
      <c r="I2731" s="126" t="s">
        <v>20</v>
      </c>
      <c r="J2731" s="37">
        <v>0</v>
      </c>
      <c r="K2731" s="159">
        <f>J2731*H2731</f>
        <v>0</v>
      </c>
      <c r="L2731" s="160"/>
    </row>
    <row r="2732" spans="1:12" s="21" customFormat="1" x14ac:dyDescent="0.2">
      <c r="A2732" s="129" t="str">
        <f>IF(F2732&lt;&gt;"",1+MAX($A$1:A2731),"")</f>
        <v/>
      </c>
      <c r="B2732" s="126"/>
      <c r="C2732" s="120"/>
      <c r="D2732" s="189"/>
      <c r="E2732" s="295"/>
      <c r="F2732" s="125"/>
      <c r="G2732" s="184"/>
      <c r="H2732" s="125"/>
      <c r="I2732" s="126"/>
      <c r="J2732" s="127"/>
      <c r="K2732" s="159"/>
      <c r="L2732" s="212"/>
    </row>
    <row r="2733" spans="1:12" s="21" customFormat="1" x14ac:dyDescent="0.2">
      <c r="A2733" s="129" t="str">
        <f>IF(F2733&lt;&gt;"",1+MAX($A$1:A2732),"")</f>
        <v/>
      </c>
      <c r="B2733" s="120"/>
      <c r="C2733" s="120"/>
      <c r="D2733" s="189"/>
      <c r="E2733" s="190" t="s">
        <v>1190</v>
      </c>
      <c r="F2733" s="123"/>
      <c r="G2733" s="184"/>
      <c r="H2733" s="125"/>
      <c r="I2733" s="126"/>
      <c r="J2733" s="127"/>
      <c r="K2733" s="105"/>
      <c r="L2733" s="11">
        <f>SUM(K2730:K2732)</f>
        <v>0</v>
      </c>
    </row>
    <row r="2734" spans="1:12" s="21" customFormat="1" x14ac:dyDescent="0.2">
      <c r="A2734" s="129" t="str">
        <f>IF(F2734&lt;&gt;"",1+MAX($A$6:A2733),"")</f>
        <v/>
      </c>
      <c r="B2734" s="120"/>
      <c r="C2734" s="120"/>
      <c r="D2734" s="189"/>
      <c r="E2734" s="122"/>
      <c r="F2734" s="123"/>
      <c r="G2734" s="184"/>
      <c r="H2734" s="125"/>
      <c r="I2734" s="126"/>
      <c r="J2734" s="127"/>
      <c r="K2734" s="104"/>
      <c r="L2734" s="213"/>
    </row>
    <row r="2735" spans="1:12" s="21" customFormat="1" ht="16.5" thickBot="1" x14ac:dyDescent="0.25">
      <c r="A2735" s="214" t="str">
        <f>IF(F2735&lt;&gt;"",1+MAX($A$6:A2734),"")</f>
        <v/>
      </c>
      <c r="B2735" s="215"/>
      <c r="C2735" s="215"/>
      <c r="D2735" s="215"/>
      <c r="E2735" s="216"/>
      <c r="F2735" s="217"/>
      <c r="G2735" s="218"/>
      <c r="H2735" s="218"/>
      <c r="I2735" s="219"/>
      <c r="J2735" s="220"/>
      <c r="K2735" s="221"/>
      <c r="L2735" s="285"/>
    </row>
    <row r="2736" spans="1:12" s="65" customFormat="1" x14ac:dyDescent="0.2">
      <c r="A2736" s="302" t="s">
        <v>14</v>
      </c>
      <c r="B2736" s="303"/>
      <c r="C2736" s="303"/>
      <c r="D2736" s="303"/>
      <c r="E2736" s="304" t="s">
        <v>363</v>
      </c>
      <c r="F2736" s="305"/>
      <c r="G2736" s="306"/>
      <c r="H2736" s="306"/>
      <c r="I2736" s="32"/>
      <c r="J2736" s="307"/>
      <c r="K2736" s="308">
        <f>(SUM(K2096:K2735))</f>
        <v>0</v>
      </c>
      <c r="L2736" s="309">
        <f>(SUM(L2096:L2735))</f>
        <v>0</v>
      </c>
    </row>
    <row r="2737" spans="1:12" s="65" customFormat="1" ht="16.5" thickBot="1" x14ac:dyDescent="0.25">
      <c r="A2737" s="310" t="s">
        <v>1191</v>
      </c>
      <c r="B2737" s="39"/>
      <c r="C2737" s="39"/>
      <c r="D2737" s="39"/>
      <c r="E2737" s="40"/>
      <c r="F2737" s="311"/>
      <c r="G2737" s="42"/>
      <c r="H2737" s="312"/>
      <c r="I2737" s="39"/>
      <c r="J2737" s="313"/>
      <c r="K2737" s="314">
        <f>SUM(K2736:K2736)</f>
        <v>0</v>
      </c>
      <c r="L2737" s="315"/>
    </row>
    <row r="2738" spans="1:12" s="21" customFormat="1" ht="21.75" customHeight="1" x14ac:dyDescent="0.2">
      <c r="A2738" s="49" t="s">
        <v>1192</v>
      </c>
      <c r="B2738" s="32"/>
      <c r="C2738" s="32"/>
      <c r="D2738" s="32"/>
      <c r="E2738" s="46"/>
      <c r="F2738" s="47"/>
      <c r="G2738" s="29"/>
      <c r="H2738" s="29"/>
      <c r="I2738" s="32"/>
      <c r="J2738" s="48"/>
      <c r="K2738" s="31"/>
      <c r="L2738" s="34"/>
    </row>
    <row r="2739" spans="1:12" s="21" customFormat="1" ht="21.75" customHeight="1" x14ac:dyDescent="0.2">
      <c r="A2739" s="50" t="s">
        <v>1209</v>
      </c>
      <c r="B2739" s="32"/>
      <c r="C2739" s="32"/>
      <c r="D2739" s="32"/>
      <c r="E2739" s="46"/>
      <c r="F2739" s="47"/>
      <c r="G2739" s="29"/>
      <c r="H2739" s="29"/>
      <c r="I2739" s="32"/>
      <c r="J2739" s="48"/>
      <c r="K2739" s="31"/>
      <c r="L2739" s="34"/>
    </row>
    <row r="2740" spans="1:12" s="21" customFormat="1" ht="21.75" customHeight="1" x14ac:dyDescent="0.2">
      <c r="A2740" s="50" t="s">
        <v>1211</v>
      </c>
      <c r="B2740" s="32"/>
      <c r="C2740" s="32"/>
      <c r="D2740" s="32"/>
      <c r="E2740" s="46"/>
      <c r="F2740" s="47"/>
      <c r="G2740" s="29"/>
      <c r="H2740" s="29"/>
      <c r="I2740" s="32"/>
      <c r="J2740" s="48"/>
      <c r="K2740" s="31"/>
      <c r="L2740" s="34"/>
    </row>
    <row r="2741" spans="1:12" s="21" customFormat="1" ht="21.75" customHeight="1" x14ac:dyDescent="0.2">
      <c r="A2741" s="50" t="s">
        <v>1193</v>
      </c>
      <c r="B2741" s="32"/>
      <c r="C2741" s="32"/>
      <c r="D2741" s="32"/>
      <c r="E2741" s="46"/>
      <c r="F2741" s="47"/>
      <c r="G2741" s="29"/>
      <c r="H2741" s="29"/>
      <c r="I2741" s="32"/>
      <c r="J2741" s="48"/>
      <c r="K2741" s="31"/>
      <c r="L2741" s="34"/>
    </row>
    <row r="2742" spans="1:12" s="21" customFormat="1" ht="21.75" customHeight="1" x14ac:dyDescent="0.2">
      <c r="A2742" s="50" t="s">
        <v>1194</v>
      </c>
      <c r="B2742" s="32"/>
      <c r="C2742" s="32"/>
      <c r="D2742" s="32"/>
      <c r="E2742" s="46"/>
      <c r="F2742" s="47"/>
      <c r="G2742" s="29"/>
      <c r="H2742" s="29"/>
      <c r="I2742" s="32"/>
      <c r="J2742" s="48"/>
      <c r="K2742" s="31"/>
      <c r="L2742" s="34"/>
    </row>
    <row r="2743" spans="1:12" s="21" customFormat="1" ht="21.75" customHeight="1" x14ac:dyDescent="0.2">
      <c r="A2743" s="50" t="s">
        <v>1195</v>
      </c>
      <c r="B2743" s="32"/>
      <c r="C2743" s="32"/>
      <c r="D2743" s="32"/>
      <c r="E2743" s="46"/>
      <c r="F2743" s="47"/>
      <c r="G2743" s="29"/>
      <c r="H2743" s="29"/>
      <c r="I2743" s="32"/>
      <c r="J2743" s="48"/>
      <c r="K2743" s="31"/>
      <c r="L2743" s="34"/>
    </row>
    <row r="2744" spans="1:12" s="21" customFormat="1" ht="21.75" customHeight="1" x14ac:dyDescent="0.2">
      <c r="A2744" s="50" t="s">
        <v>1196</v>
      </c>
      <c r="B2744" s="32"/>
      <c r="C2744" s="32"/>
      <c r="D2744" s="32"/>
      <c r="E2744" s="46"/>
      <c r="F2744" s="47"/>
      <c r="G2744" s="29"/>
      <c r="H2744" s="29"/>
      <c r="I2744" s="32"/>
      <c r="J2744" s="48"/>
      <c r="K2744" s="31"/>
      <c r="L2744" s="34"/>
    </row>
    <row r="2745" spans="1:12" s="21" customFormat="1" ht="21.75" customHeight="1" thickBot="1" x14ac:dyDescent="0.25">
      <c r="A2745" s="38" t="s">
        <v>1197</v>
      </c>
      <c r="B2745" s="39"/>
      <c r="C2745" s="39"/>
      <c r="D2745" s="39"/>
      <c r="E2745" s="40"/>
      <c r="F2745" s="41"/>
      <c r="G2745" s="42"/>
      <c r="H2745" s="42"/>
      <c r="I2745" s="39"/>
      <c r="J2745" s="43"/>
      <c r="K2745" s="44"/>
      <c r="L2745" s="45"/>
    </row>
    <row r="2746" spans="1:12" ht="16.5" thickBot="1" x14ac:dyDescent="0.25"/>
    <row r="2747" spans="1:12" s="21" customFormat="1" ht="21" x14ac:dyDescent="0.2">
      <c r="A2747" s="130" t="str">
        <f>IF(F2747&lt;&gt;"",1+MAX($A$6:A2746),"")</f>
        <v/>
      </c>
      <c r="B2747" s="136"/>
      <c r="C2747" s="136"/>
      <c r="D2747" s="136"/>
      <c r="E2747" s="331" t="s">
        <v>267</v>
      </c>
      <c r="F2747" s="265"/>
      <c r="G2747" s="332" t="s">
        <v>20</v>
      </c>
      <c r="H2747" s="267">
        <v>0</v>
      </c>
      <c r="I2747" s="268">
        <f>H2747*F2750</f>
        <v>0</v>
      </c>
      <c r="J2747" s="268" t="e">
        <f>#REF!*F2750</f>
        <v>#REF!</v>
      </c>
      <c r="K2747" s="268" t="e">
        <f t="shared" ref="K2747:K2758" si="540">J2747+I2747</f>
        <v>#REF!</v>
      </c>
      <c r="L2747" s="333" t="s">
        <v>269</v>
      </c>
    </row>
    <row r="2748" spans="1:12" s="21" customFormat="1" ht="21" x14ac:dyDescent="0.2">
      <c r="A2748" s="129" t="str">
        <f>IF(F2748&lt;&gt;"",1+MAX($A$6:A2747),"")</f>
        <v/>
      </c>
      <c r="B2748" s="206"/>
      <c r="C2748" s="206"/>
      <c r="D2748" s="206"/>
      <c r="E2748" s="259"/>
      <c r="F2748" s="257"/>
      <c r="G2748" s="257" t="s">
        <v>20</v>
      </c>
      <c r="H2748" s="254">
        <v>0</v>
      </c>
      <c r="I2748" s="255">
        <f>H2748*F2751</f>
        <v>0</v>
      </c>
      <c r="J2748" s="255" t="e">
        <f>#REF!*F2751</f>
        <v>#REF!</v>
      </c>
      <c r="K2748" s="255" t="e">
        <f t="shared" si="540"/>
        <v>#REF!</v>
      </c>
      <c r="L2748" s="270" t="s">
        <v>269</v>
      </c>
    </row>
    <row r="2749" spans="1:12" s="21" customFormat="1" ht="21" x14ac:dyDescent="0.2">
      <c r="A2749" s="129" t="str">
        <f>IF(F2749&lt;&gt;"",1+MAX($A$6:A2748),"")</f>
        <v/>
      </c>
      <c r="B2749" s="206"/>
      <c r="C2749" s="206"/>
      <c r="D2749" s="206"/>
      <c r="E2749" s="259" t="s">
        <v>268</v>
      </c>
      <c r="F2749" s="257"/>
      <c r="G2749" s="257" t="s">
        <v>20</v>
      </c>
      <c r="H2749" s="254">
        <v>0</v>
      </c>
      <c r="I2749" s="255">
        <f>H2749*F2752</f>
        <v>0</v>
      </c>
      <c r="J2749" s="255" t="e">
        <f>#REF!*F2752</f>
        <v>#REF!</v>
      </c>
      <c r="K2749" s="255" t="e">
        <f t="shared" si="540"/>
        <v>#REF!</v>
      </c>
      <c r="L2749" s="270" t="s">
        <v>269</v>
      </c>
    </row>
    <row r="2750" spans="1:12" s="21" customFormat="1" ht="22.5" customHeight="1" x14ac:dyDescent="0.2">
      <c r="A2750" s="129">
        <f ca="1">IF(F2750&lt;&gt;"",1+MAX($A$6:A2749),"")</f>
        <v>1</v>
      </c>
      <c r="B2750" s="206"/>
      <c r="C2750" s="206"/>
      <c r="D2750" s="206"/>
      <c r="E2750" s="259" t="s">
        <v>270</v>
      </c>
      <c r="F2750" s="257">
        <v>2</v>
      </c>
      <c r="G2750" s="257" t="s">
        <v>20</v>
      </c>
      <c r="H2750" s="254">
        <v>0</v>
      </c>
      <c r="I2750" s="255">
        <f>H2750*F2753</f>
        <v>0</v>
      </c>
      <c r="J2750" s="255" t="e">
        <f>#REF!*F2753</f>
        <v>#REF!</v>
      </c>
      <c r="K2750" s="255" t="e">
        <f t="shared" si="540"/>
        <v>#REF!</v>
      </c>
      <c r="L2750" s="270" t="s">
        <v>269</v>
      </c>
    </row>
    <row r="2751" spans="1:12" s="21" customFormat="1" ht="22.5" customHeight="1" x14ac:dyDescent="0.2">
      <c r="A2751" s="129">
        <f ca="1">IF(F2751&lt;&gt;"",1+MAX($A$6:A2750),"")</f>
        <v>2</v>
      </c>
      <c r="B2751" s="206"/>
      <c r="C2751" s="206"/>
      <c r="D2751" s="206"/>
      <c r="E2751" s="259" t="s">
        <v>271</v>
      </c>
      <c r="F2751" s="257">
        <v>5</v>
      </c>
      <c r="G2751" s="257" t="s">
        <v>20</v>
      </c>
      <c r="H2751" s="254">
        <v>0</v>
      </c>
      <c r="I2751" s="255">
        <f>H2751*F2754</f>
        <v>0</v>
      </c>
      <c r="J2751" s="255" t="e">
        <f>#REF!*F2754</f>
        <v>#REF!</v>
      </c>
      <c r="K2751" s="255" t="e">
        <f t="shared" si="540"/>
        <v>#REF!</v>
      </c>
      <c r="L2751" s="270" t="s">
        <v>269</v>
      </c>
    </row>
    <row r="2752" spans="1:12" s="21" customFormat="1" ht="22.5" customHeight="1" x14ac:dyDescent="0.2">
      <c r="A2752" s="129">
        <f ca="1">IF(F2752&lt;&gt;"",1+MAX($A$6:A2751),"")</f>
        <v>3</v>
      </c>
      <c r="B2752" s="206"/>
      <c r="C2752" s="206"/>
      <c r="D2752" s="206"/>
      <c r="E2752" s="259" t="s">
        <v>272</v>
      </c>
      <c r="F2752" s="257">
        <v>11</v>
      </c>
      <c r="G2752" s="257" t="s">
        <v>20</v>
      </c>
      <c r="H2752" s="254">
        <v>0</v>
      </c>
      <c r="I2752" s="255">
        <f>H2752*F2755</f>
        <v>0</v>
      </c>
      <c r="J2752" s="255" t="e">
        <f>#REF!*F2755</f>
        <v>#REF!</v>
      </c>
      <c r="K2752" s="255" t="e">
        <f t="shared" si="540"/>
        <v>#REF!</v>
      </c>
      <c r="L2752" s="270" t="s">
        <v>269</v>
      </c>
    </row>
    <row r="2753" spans="1:12" s="21" customFormat="1" ht="21" x14ac:dyDescent="0.2">
      <c r="A2753" s="129">
        <f ca="1">IF(F2753&lt;&gt;"",1+MAX($A$6:A2752),"")</f>
        <v>4</v>
      </c>
      <c r="B2753" s="206"/>
      <c r="C2753" s="206"/>
      <c r="D2753" s="206"/>
      <c r="E2753" s="259" t="s">
        <v>273</v>
      </c>
      <c r="F2753" s="257">
        <v>13</v>
      </c>
      <c r="G2753" s="257" t="s">
        <v>20</v>
      </c>
      <c r="H2753" s="254">
        <v>0</v>
      </c>
      <c r="I2753" s="255">
        <f>H2753*F2756</f>
        <v>0</v>
      </c>
      <c r="J2753" s="255" t="e">
        <f>#REF!*F2756</f>
        <v>#REF!</v>
      </c>
      <c r="K2753" s="255" t="e">
        <f t="shared" si="540"/>
        <v>#REF!</v>
      </c>
      <c r="L2753" s="270" t="s">
        <v>269</v>
      </c>
    </row>
    <row r="2754" spans="1:12" s="21" customFormat="1" ht="22.5" customHeight="1" x14ac:dyDescent="0.2">
      <c r="A2754" s="129">
        <f ca="1">IF(F2754&lt;&gt;"",1+MAX($A$6:A2753),"")</f>
        <v>5</v>
      </c>
      <c r="B2754" s="206"/>
      <c r="C2754" s="206"/>
      <c r="D2754" s="206"/>
      <c r="E2754" s="259" t="s">
        <v>274</v>
      </c>
      <c r="F2754" s="257">
        <v>5</v>
      </c>
      <c r="G2754" s="257" t="s">
        <v>20</v>
      </c>
      <c r="H2754" s="254">
        <v>0</v>
      </c>
      <c r="I2754" s="255">
        <f>H2754*F2757</f>
        <v>0</v>
      </c>
      <c r="J2754" s="255" t="e">
        <f>#REF!*F2757</f>
        <v>#REF!</v>
      </c>
      <c r="K2754" s="255" t="e">
        <f t="shared" si="540"/>
        <v>#REF!</v>
      </c>
      <c r="L2754" s="270" t="s">
        <v>269</v>
      </c>
    </row>
    <row r="2755" spans="1:12" s="21" customFormat="1" ht="22.5" customHeight="1" x14ac:dyDescent="0.2">
      <c r="A2755" s="129">
        <f ca="1">IF(F2755&lt;&gt;"",1+MAX($A$6:A2754),"")</f>
        <v>6</v>
      </c>
      <c r="B2755" s="206"/>
      <c r="C2755" s="206"/>
      <c r="D2755" s="206"/>
      <c r="E2755" s="259" t="s">
        <v>275</v>
      </c>
      <c r="F2755" s="257">
        <v>2</v>
      </c>
      <c r="G2755" s="257" t="s">
        <v>20</v>
      </c>
      <c r="H2755" s="254">
        <v>0</v>
      </c>
      <c r="I2755" s="255">
        <f>H2755*F2758</f>
        <v>0</v>
      </c>
      <c r="J2755" s="255" t="e">
        <f>#REF!*F2758</f>
        <v>#REF!</v>
      </c>
      <c r="K2755" s="255" t="e">
        <f>J2755+I2755</f>
        <v>#REF!</v>
      </c>
      <c r="L2755" s="270" t="s">
        <v>269</v>
      </c>
    </row>
    <row r="2756" spans="1:12" s="21" customFormat="1" ht="22.5" customHeight="1" x14ac:dyDescent="0.2">
      <c r="A2756" s="129">
        <f ca="1">IF(F2756&lt;&gt;"",1+MAX($A$6:A2755),"")</f>
        <v>7</v>
      </c>
      <c r="B2756" s="206"/>
      <c r="C2756" s="206"/>
      <c r="D2756" s="206"/>
      <c r="E2756" s="259" t="s">
        <v>276</v>
      </c>
      <c r="F2756" s="257">
        <v>4</v>
      </c>
      <c r="G2756" s="257" t="s">
        <v>20</v>
      </c>
      <c r="H2756" s="254">
        <v>0</v>
      </c>
      <c r="I2756" s="255">
        <f>H2756*F2759</f>
        <v>0</v>
      </c>
      <c r="J2756" s="255" t="e">
        <f>#REF!*F2759</f>
        <v>#REF!</v>
      </c>
      <c r="K2756" s="255" t="e">
        <f>J2756+I2756</f>
        <v>#REF!</v>
      </c>
      <c r="L2756" s="270" t="s">
        <v>269</v>
      </c>
    </row>
    <row r="2757" spans="1:12" s="21" customFormat="1" ht="22.5" customHeight="1" x14ac:dyDescent="0.2">
      <c r="A2757" s="129">
        <f ca="1">IF(F2757&lt;&gt;"",1+MAX($A$6:A2756),"")</f>
        <v>8</v>
      </c>
      <c r="B2757" s="206"/>
      <c r="C2757" s="206"/>
      <c r="D2757" s="206"/>
      <c r="E2757" s="259" t="s">
        <v>277</v>
      </c>
      <c r="F2757" s="257">
        <v>2</v>
      </c>
      <c r="G2757" s="257" t="s">
        <v>20</v>
      </c>
      <c r="H2757" s="254">
        <v>0</v>
      </c>
      <c r="I2757" s="255">
        <f>H2757*F2760</f>
        <v>0</v>
      </c>
      <c r="J2757" s="255" t="e">
        <f>#REF!*F2760</f>
        <v>#REF!</v>
      </c>
      <c r="K2757" s="255" t="e">
        <f>J2757+I2757</f>
        <v>#REF!</v>
      </c>
      <c r="L2757" s="270" t="s">
        <v>269</v>
      </c>
    </row>
    <row r="2758" spans="1:12" s="21" customFormat="1" ht="22.5" customHeight="1" x14ac:dyDescent="0.2">
      <c r="A2758" s="129">
        <f ca="1">IF(F2758&lt;&gt;"",1+MAX($A$6:A2757),"")</f>
        <v>9</v>
      </c>
      <c r="B2758" s="206"/>
      <c r="C2758" s="206"/>
      <c r="D2758" s="206"/>
      <c r="E2758" s="259" t="s">
        <v>278</v>
      </c>
      <c r="F2758" s="257">
        <v>1</v>
      </c>
      <c r="G2758" s="257" t="s">
        <v>20</v>
      </c>
      <c r="H2758" s="254">
        <v>0</v>
      </c>
      <c r="I2758" s="255">
        <f>H2758*F2761</f>
        <v>0</v>
      </c>
      <c r="J2758" s="255" t="e">
        <f>#REF!*F2761</f>
        <v>#REF!</v>
      </c>
      <c r="K2758" s="255" t="e">
        <f t="shared" si="540"/>
        <v>#REF!</v>
      </c>
      <c r="L2758" s="270" t="s">
        <v>269</v>
      </c>
    </row>
    <row r="2759" spans="1:12" s="21" customFormat="1" ht="21" x14ac:dyDescent="0.2">
      <c r="A2759" s="129">
        <f ca="1">IF(F2759&lt;&gt;"",1+MAX($A$6:A2758),"")</f>
        <v>10</v>
      </c>
      <c r="B2759" s="206"/>
      <c r="C2759" s="206"/>
      <c r="D2759" s="206"/>
      <c r="E2759" s="259" t="s">
        <v>279</v>
      </c>
      <c r="F2759" s="257">
        <v>1</v>
      </c>
      <c r="G2759" s="257" t="s">
        <v>20</v>
      </c>
      <c r="H2759" s="254">
        <v>0</v>
      </c>
      <c r="I2759" s="255">
        <f>H2759*F2762</f>
        <v>0</v>
      </c>
      <c r="J2759" s="255" t="e">
        <f>#REF!*F2762</f>
        <v>#REF!</v>
      </c>
      <c r="K2759" s="255" t="e">
        <f>J2759+I2759</f>
        <v>#REF!</v>
      </c>
      <c r="L2759" s="270" t="s">
        <v>269</v>
      </c>
    </row>
    <row r="2760" spans="1:12" s="21" customFormat="1" ht="22.5" customHeight="1" x14ac:dyDescent="0.2">
      <c r="A2760" s="129">
        <f ca="1">IF(F2760&lt;&gt;"",1+MAX($A$6:A2759),"")</f>
        <v>11</v>
      </c>
      <c r="B2760" s="206"/>
      <c r="C2760" s="206"/>
      <c r="D2760" s="206"/>
      <c r="E2760" s="259" t="s">
        <v>280</v>
      </c>
      <c r="F2760" s="257">
        <v>17</v>
      </c>
      <c r="G2760" s="257" t="s">
        <v>20</v>
      </c>
      <c r="H2760" s="254">
        <v>0</v>
      </c>
      <c r="I2760" s="255">
        <f>H2760*F2763</f>
        <v>0</v>
      </c>
      <c r="J2760" s="255" t="e">
        <f>#REF!*F2763</f>
        <v>#REF!</v>
      </c>
      <c r="K2760" s="255" t="e">
        <f>J2760+I2760</f>
        <v>#REF!</v>
      </c>
      <c r="L2760" s="270" t="s">
        <v>269</v>
      </c>
    </row>
    <row r="2761" spans="1:12" s="21" customFormat="1" ht="22.5" customHeight="1" x14ac:dyDescent="0.2">
      <c r="A2761" s="129">
        <f ca="1">IF(F2761&lt;&gt;"",1+MAX($A$6:A2760),"")</f>
        <v>12</v>
      </c>
      <c r="B2761" s="206"/>
      <c r="C2761" s="206"/>
      <c r="D2761" s="206"/>
      <c r="E2761" s="259" t="s">
        <v>281</v>
      </c>
      <c r="F2761" s="257">
        <v>51</v>
      </c>
      <c r="G2761" s="257" t="s">
        <v>20</v>
      </c>
      <c r="H2761" s="254">
        <v>0</v>
      </c>
      <c r="I2761" s="255">
        <f>H2761*F2764</f>
        <v>0</v>
      </c>
      <c r="J2761" s="255" t="e">
        <f>#REF!*F2764</f>
        <v>#REF!</v>
      </c>
      <c r="K2761" s="255" t="e">
        <f>J2761+I2761</f>
        <v>#REF!</v>
      </c>
      <c r="L2761" s="270" t="s">
        <v>269</v>
      </c>
    </row>
    <row r="2762" spans="1:12" s="21" customFormat="1" ht="22.5" customHeight="1" x14ac:dyDescent="0.2">
      <c r="A2762" s="129">
        <f ca="1">IF(F2762&lt;&gt;"",1+MAX($A$6:A2761),"")</f>
        <v>13</v>
      </c>
      <c r="B2762" s="206"/>
      <c r="C2762" s="206"/>
      <c r="D2762" s="206"/>
      <c r="E2762" s="259" t="s">
        <v>282</v>
      </c>
      <c r="F2762" s="257">
        <v>58</v>
      </c>
      <c r="G2762" s="257" t="s">
        <v>20</v>
      </c>
      <c r="H2762" s="254">
        <v>0</v>
      </c>
      <c r="I2762" s="255">
        <f>H2762*F2765</f>
        <v>0</v>
      </c>
      <c r="J2762" s="255" t="e">
        <f>#REF!*F2765</f>
        <v>#REF!</v>
      </c>
      <c r="K2762" s="255" t="e">
        <f>J2762+I2762</f>
        <v>#REF!</v>
      </c>
      <c r="L2762" s="270" t="s">
        <v>269</v>
      </c>
    </row>
    <row r="2763" spans="1:12" s="21" customFormat="1" ht="29.25" customHeight="1" x14ac:dyDescent="0.2">
      <c r="A2763" s="129">
        <f ca="1">IF(F2763&lt;&gt;"",1+MAX($A$6:A2762),"")</f>
        <v>14</v>
      </c>
      <c r="B2763" s="206"/>
      <c r="C2763" s="206"/>
      <c r="D2763" s="206"/>
      <c r="E2763" s="259" t="s">
        <v>283</v>
      </c>
      <c r="F2763" s="257">
        <v>6</v>
      </c>
      <c r="G2763" s="257" t="s">
        <v>20</v>
      </c>
      <c r="H2763" s="254">
        <v>0</v>
      </c>
      <c r="I2763" s="255">
        <f>H2763*F2766</f>
        <v>0</v>
      </c>
      <c r="J2763" s="255" t="e">
        <f>#REF!*F2766</f>
        <v>#REF!</v>
      </c>
      <c r="K2763" s="255" t="e">
        <f t="shared" ref="K2763:K2767" si="541">J2763+I2763</f>
        <v>#REF!</v>
      </c>
      <c r="L2763" s="270" t="s">
        <v>269</v>
      </c>
    </row>
    <row r="2764" spans="1:12" s="21" customFormat="1" ht="29.25" customHeight="1" x14ac:dyDescent="0.2">
      <c r="A2764" s="129">
        <f ca="1">IF(F2764&lt;&gt;"",1+MAX($A$6:A2763),"")</f>
        <v>15</v>
      </c>
      <c r="B2764" s="206"/>
      <c r="C2764" s="206"/>
      <c r="D2764" s="206"/>
      <c r="E2764" s="259" t="s">
        <v>284</v>
      </c>
      <c r="F2764" s="257">
        <v>1</v>
      </c>
      <c r="G2764" s="257" t="s">
        <v>20</v>
      </c>
      <c r="H2764" s="254">
        <v>0</v>
      </c>
      <c r="I2764" s="255">
        <f>H2764*F2767</f>
        <v>0</v>
      </c>
      <c r="J2764" s="255" t="e">
        <f>#REF!*F2767</f>
        <v>#REF!</v>
      </c>
      <c r="K2764" s="255" t="e">
        <f t="shared" si="541"/>
        <v>#REF!</v>
      </c>
      <c r="L2764" s="270" t="s">
        <v>269</v>
      </c>
    </row>
    <row r="2765" spans="1:12" s="21" customFormat="1" ht="29.25" customHeight="1" x14ac:dyDescent="0.2">
      <c r="A2765" s="129">
        <f ca="1">IF(F2765&lt;&gt;"",1+MAX($A$6:A2764),"")</f>
        <v>16</v>
      </c>
      <c r="B2765" s="206"/>
      <c r="C2765" s="206"/>
      <c r="D2765" s="206"/>
      <c r="E2765" s="259" t="s">
        <v>285</v>
      </c>
      <c r="F2765" s="257">
        <v>10</v>
      </c>
      <c r="G2765" s="257" t="s">
        <v>20</v>
      </c>
      <c r="H2765" s="254">
        <v>0</v>
      </c>
      <c r="I2765" s="255">
        <f>H2765*F2768</f>
        <v>0</v>
      </c>
      <c r="J2765" s="255" t="e">
        <f>#REF!*F2768</f>
        <v>#REF!</v>
      </c>
      <c r="K2765" s="255" t="e">
        <f t="shared" si="541"/>
        <v>#REF!</v>
      </c>
      <c r="L2765" s="270" t="s">
        <v>269</v>
      </c>
    </row>
    <row r="2766" spans="1:12" s="21" customFormat="1" ht="29.25" customHeight="1" x14ac:dyDescent="0.2">
      <c r="A2766" s="129">
        <f ca="1">IF(F2766&lt;&gt;"",1+MAX($A$6:A2765),"")</f>
        <v>17</v>
      </c>
      <c r="B2766" s="206"/>
      <c r="C2766" s="206"/>
      <c r="D2766" s="206"/>
      <c r="E2766" s="259" t="s">
        <v>286</v>
      </c>
      <c r="F2766" s="257">
        <v>24</v>
      </c>
      <c r="G2766" s="257" t="s">
        <v>20</v>
      </c>
      <c r="H2766" s="254">
        <v>0</v>
      </c>
      <c r="I2766" s="255">
        <f>H2766*F2769</f>
        <v>0</v>
      </c>
      <c r="J2766" s="255" t="e">
        <f>#REF!*F2769</f>
        <v>#REF!</v>
      </c>
      <c r="K2766" s="255" t="e">
        <f t="shared" si="541"/>
        <v>#REF!</v>
      </c>
      <c r="L2766" s="270" t="s">
        <v>269</v>
      </c>
    </row>
    <row r="2767" spans="1:12" s="21" customFormat="1" ht="29.25" customHeight="1" x14ac:dyDescent="0.2">
      <c r="A2767" s="129">
        <f ca="1">IF(F2767&lt;&gt;"",1+MAX($A$6:A2766),"")</f>
        <v>18</v>
      </c>
      <c r="B2767" s="206"/>
      <c r="C2767" s="206"/>
      <c r="D2767" s="206"/>
      <c r="E2767" s="259" t="s">
        <v>287</v>
      </c>
      <c r="F2767" s="257">
        <v>102</v>
      </c>
      <c r="G2767" s="257" t="s">
        <v>20</v>
      </c>
      <c r="H2767" s="254">
        <v>0</v>
      </c>
      <c r="I2767" s="255">
        <f>H2767*F2770</f>
        <v>0</v>
      </c>
      <c r="J2767" s="255" t="e">
        <f>#REF!*F2770</f>
        <v>#REF!</v>
      </c>
      <c r="K2767" s="255" t="e">
        <f t="shared" si="541"/>
        <v>#REF!</v>
      </c>
      <c r="L2767" s="270" t="s">
        <v>269</v>
      </c>
    </row>
    <row r="2768" spans="1:12" s="21" customFormat="1" ht="29.25" customHeight="1" x14ac:dyDescent="0.2">
      <c r="A2768" s="129">
        <f ca="1">IF(F2768&lt;&gt;"",1+MAX($A$6:A2767),"")</f>
        <v>19</v>
      </c>
      <c r="B2768" s="206"/>
      <c r="C2768" s="206"/>
      <c r="D2768" s="206"/>
      <c r="E2768" s="259" t="s">
        <v>288</v>
      </c>
      <c r="F2768" s="257">
        <v>9</v>
      </c>
      <c r="G2768" s="253"/>
      <c r="H2768" s="254"/>
      <c r="I2768" s="255"/>
      <c r="J2768" s="255"/>
      <c r="K2768" s="255"/>
      <c r="L2768" s="213"/>
    </row>
    <row r="2769" spans="1:12" s="21" customFormat="1" ht="29.25" customHeight="1" x14ac:dyDescent="0.2">
      <c r="A2769" s="129">
        <f ca="1">IF(F2769&lt;&gt;"",1+MAX($A$6:A2767),"")</f>
        <v>19</v>
      </c>
      <c r="B2769" s="206"/>
      <c r="C2769" s="206"/>
      <c r="D2769" s="206"/>
      <c r="E2769" s="259" t="s">
        <v>289</v>
      </c>
      <c r="F2769" s="257">
        <v>3</v>
      </c>
      <c r="G2769" s="253" t="s">
        <v>20</v>
      </c>
      <c r="H2769" s="254">
        <v>0</v>
      </c>
      <c r="I2769" s="255"/>
      <c r="J2769" s="255" t="e">
        <f>#REF!*F2772</f>
        <v>#REF!</v>
      </c>
      <c r="K2769" s="255" t="e">
        <f t="shared" ref="K2769" si="542">J2769+I2769</f>
        <v>#REF!</v>
      </c>
      <c r="L2769" s="213"/>
    </row>
    <row r="2770" spans="1:12" s="21" customFormat="1" ht="29.25" customHeight="1" x14ac:dyDescent="0.2">
      <c r="A2770" s="129">
        <f ca="1">IF(F2770&lt;&gt;"",1+MAX($A$6:A2768),"")</f>
        <v>20</v>
      </c>
      <c r="B2770" s="206"/>
      <c r="C2770" s="206"/>
      <c r="D2770" s="206"/>
      <c r="E2770" s="260"/>
      <c r="F2770" s="257">
        <v>14</v>
      </c>
      <c r="G2770" s="253"/>
      <c r="H2770" s="254"/>
      <c r="I2770" s="255"/>
      <c r="J2770" s="255"/>
      <c r="K2770" s="255"/>
      <c r="L2770" s="213"/>
    </row>
    <row r="2771" spans="1:12" s="21" customFormat="1" ht="29.25" customHeight="1" x14ac:dyDescent="0.2">
      <c r="A2771" s="129" t="str">
        <f>IF(F2771&lt;&gt;"",1+MAX($A$6:A2770),"")</f>
        <v/>
      </c>
      <c r="B2771" s="206"/>
      <c r="C2771" s="206"/>
      <c r="D2771" s="206"/>
      <c r="E2771" s="260" t="s">
        <v>262</v>
      </c>
      <c r="F2771" s="252"/>
      <c r="G2771" s="253"/>
      <c r="H2771" s="254"/>
      <c r="I2771" s="255"/>
      <c r="J2771" s="255"/>
      <c r="K2771" s="255"/>
      <c r="L2771" s="213"/>
    </row>
    <row r="2772" spans="1:12" s="21" customFormat="1" ht="29.25" customHeight="1" x14ac:dyDescent="0.2">
      <c r="A2772" s="129">
        <f ca="1">IF(F2772&lt;&gt;"",1+MAX($A$6:A2771),"")</f>
        <v>21</v>
      </c>
      <c r="B2772" s="206"/>
      <c r="C2772" s="206"/>
      <c r="D2772" s="206"/>
      <c r="E2772" s="251"/>
      <c r="F2772" s="257">
        <v>1</v>
      </c>
      <c r="G2772" s="253"/>
      <c r="H2772" s="262" t="s">
        <v>264</v>
      </c>
      <c r="I2772" s="262"/>
      <c r="J2772" s="262" t="s">
        <v>265</v>
      </c>
      <c r="K2772" s="255"/>
      <c r="L2772" s="213"/>
    </row>
    <row r="2773" spans="1:12" s="21" customFormat="1" ht="29.25" customHeight="1" x14ac:dyDescent="0.2">
      <c r="A2773" s="129" t="str">
        <f>IF(F2773&lt;&gt;"",1+MAX($A$6:A2772),"")</f>
        <v/>
      </c>
      <c r="B2773" s="206"/>
      <c r="C2773" s="206"/>
      <c r="D2773" s="206"/>
      <c r="E2773" s="261" t="s">
        <v>263</v>
      </c>
      <c r="F2773" s="252"/>
      <c r="G2773" s="253"/>
      <c r="H2773" s="254"/>
      <c r="I2773" s="263" t="e">
        <f>SUM(#REF!)</f>
        <v>#REF!</v>
      </c>
      <c r="J2773" s="263" t="e">
        <f>SUM(#REF!)</f>
        <v>#REF!</v>
      </c>
      <c r="K2773" s="255"/>
      <c r="L2773" s="213"/>
    </row>
    <row r="2774" spans="1:12" s="21" customFormat="1" ht="29.25" customHeight="1" x14ac:dyDescent="0.2">
      <c r="A2774" s="337" t="str">
        <f>IF(F2774&lt;&gt;"",1+MAX($A$6:A2773),"")</f>
        <v/>
      </c>
      <c r="B2774" s="338"/>
      <c r="C2774" s="338"/>
      <c r="D2774" s="338"/>
      <c r="E2774" s="329"/>
      <c r="F2774" s="330"/>
      <c r="G2774" s="322"/>
      <c r="H2774" s="323"/>
      <c r="I2774" s="323"/>
      <c r="J2774" s="324">
        <v>0.10249999999999999</v>
      </c>
      <c r="K2774" s="325" t="e">
        <f>J2774*J2773</f>
        <v>#REF!</v>
      </c>
      <c r="L2774" s="339"/>
    </row>
    <row r="2775" spans="1:12" s="21" customFormat="1" ht="29.25" customHeight="1" x14ac:dyDescent="0.2">
      <c r="A2775" s="340" t="str">
        <f>IF(F2775&lt;&gt;"",1+MAX($A$6:A2774),"")</f>
        <v/>
      </c>
      <c r="B2775" s="341"/>
      <c r="C2775" s="341"/>
      <c r="D2775" s="341"/>
      <c r="E2775" s="342"/>
      <c r="F2775" s="343"/>
      <c r="G2775" s="326"/>
      <c r="H2775" s="327"/>
      <c r="I2775" s="327"/>
      <c r="J2775" s="327"/>
      <c r="K2775" s="328" t="e">
        <f>K2774+J2773+I2773</f>
        <v>#REF!</v>
      </c>
      <c r="L2775" s="344"/>
    </row>
    <row r="2776" spans="1:12" s="21" customFormat="1" ht="29.25" customHeight="1" x14ac:dyDescent="0.2">
      <c r="A2776" s="337" t="str">
        <f>IF(F2776&lt;&gt;"",1+MAX($A$6:A2775),"")</f>
        <v/>
      </c>
      <c r="B2776" s="338"/>
      <c r="C2776" s="338"/>
      <c r="D2776" s="338"/>
      <c r="E2776" s="329"/>
      <c r="F2776" s="330"/>
      <c r="G2776" s="338"/>
      <c r="H2776" s="338"/>
      <c r="I2776" s="338"/>
      <c r="J2776" s="338"/>
      <c r="K2776" s="338"/>
      <c r="L2776" s="339"/>
    </row>
    <row r="2777" spans="1:12" s="21" customFormat="1" ht="29.25" customHeight="1" x14ac:dyDescent="0.2">
      <c r="A2777" s="334" t="s">
        <v>449</v>
      </c>
      <c r="B2777" s="338"/>
      <c r="C2777" s="338"/>
      <c r="D2777" s="338"/>
      <c r="E2777" s="338"/>
      <c r="F2777" s="330"/>
      <c r="G2777" s="338"/>
      <c r="H2777" s="338"/>
      <c r="I2777" s="338"/>
      <c r="J2777" s="338"/>
      <c r="K2777" s="338"/>
      <c r="L2777" s="339"/>
    </row>
    <row r="2778" spans="1:12" s="21" customFormat="1" ht="29.25" customHeight="1" thickBot="1" x14ac:dyDescent="0.25">
      <c r="A2778" s="335" t="s">
        <v>290</v>
      </c>
      <c r="B2778" s="345"/>
      <c r="C2778" s="345"/>
      <c r="D2778" s="345"/>
      <c r="E2778" s="345"/>
      <c r="F2778" s="336"/>
      <c r="G2778" s="345"/>
      <c r="H2778" s="345"/>
      <c r="I2778" s="345"/>
      <c r="J2778" s="345"/>
      <c r="K2778" s="345"/>
      <c r="L2778" s="346"/>
    </row>
  </sheetData>
  <mergeCells count="2">
    <mergeCell ref="A1528:L1528"/>
    <mergeCell ref="A1527:L1527"/>
  </mergeCells>
  <pageMargins left="0.25" right="0.25" top="0.75" bottom="0.75" header="0.3" footer="0.3"/>
  <pageSetup scale="72" fitToHeight="0" orientation="landscape" r:id="rId1"/>
  <headerFooter>
    <oddHeader>&amp;C
&amp;G</oddHeader>
  </headerFooter>
  <rowBreaks count="4" manualBreakCount="4">
    <brk id="1381" max="11" man="1"/>
    <brk id="1479" max="11" man="1"/>
    <brk id="1511" max="11" man="1"/>
    <brk id="1528" max="11" man="1"/>
  </rowBreaks>
  <ignoredErrors>
    <ignoredError sqref="H139 H150 H307:H316" formula="1"/>
  </ignoredErrors>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249977111117893"/>
    <pageSetUpPr fitToPage="1"/>
  </sheetPr>
  <dimension ref="A1:Q45"/>
  <sheetViews>
    <sheetView view="pageBreakPreview" topLeftCell="A7" zoomScale="80" zoomScaleNormal="90" zoomScaleSheetLayoutView="80" workbookViewId="0">
      <selection sqref="A1:XFD38"/>
    </sheetView>
  </sheetViews>
  <sheetFormatPr defaultColWidth="9.6640625" defaultRowHeight="15.75" x14ac:dyDescent="0.2"/>
  <cols>
    <col min="1" max="1" width="15.21875" style="26" customWidth="1"/>
    <col min="2" max="2" width="53.44140625" style="27" customWidth="1"/>
    <col min="3" max="3" width="11.44140625" style="29" bestFit="1" customWidth="1"/>
    <col min="4" max="4" width="4.6640625" style="32" bestFit="1" customWidth="1"/>
    <col min="5" max="5" width="11" style="32" customWidth="1"/>
    <col min="6" max="6" width="12.21875" style="33" customWidth="1"/>
    <col min="7" max="7" width="15.44140625" style="27" customWidth="1"/>
    <col min="8" max="8" width="16.88671875" style="27" customWidth="1"/>
    <col min="9" max="9" width="15.77734375" style="31" customWidth="1"/>
    <col min="10" max="10" width="50.5546875" style="21" customWidth="1"/>
    <col min="11" max="16384" width="9.6640625" style="21"/>
  </cols>
  <sheetData>
    <row r="1" spans="1:17" s="65" customFormat="1" ht="19.5" thickBot="1" x14ac:dyDescent="0.25">
      <c r="A1" s="222" t="s">
        <v>7</v>
      </c>
      <c r="B1" s="223"/>
      <c r="C1" s="224"/>
      <c r="D1" s="225"/>
      <c r="E1" s="225"/>
      <c r="F1" s="226"/>
      <c r="G1" s="226"/>
      <c r="H1" s="226"/>
      <c r="I1" s="226"/>
      <c r="J1" s="227" t="s">
        <v>254</v>
      </c>
    </row>
    <row r="2" spans="1:17" ht="21" x14ac:dyDescent="0.2">
      <c r="A2" s="228" t="s">
        <v>8</v>
      </c>
      <c r="B2" s="229"/>
      <c r="C2" s="230"/>
      <c r="D2" s="231"/>
      <c r="E2" s="232"/>
      <c r="F2" s="233"/>
      <c r="G2" s="233"/>
      <c r="H2" s="233"/>
      <c r="I2" s="233"/>
      <c r="J2" s="234"/>
    </row>
    <row r="3" spans="1:17" ht="21" x14ac:dyDescent="0.2">
      <c r="A3" s="25" t="s">
        <v>9</v>
      </c>
      <c r="B3" s="271">
        <v>44977</v>
      </c>
      <c r="C3" s="235"/>
      <c r="D3" s="236"/>
      <c r="E3" s="237"/>
      <c r="F3" s="272"/>
      <c r="H3" s="90" t="s">
        <v>1215</v>
      </c>
      <c r="I3" s="90"/>
      <c r="J3" s="34"/>
    </row>
    <row r="4" spans="1:17" ht="21" x14ac:dyDescent="0.2">
      <c r="A4" s="25" t="s">
        <v>10</v>
      </c>
      <c r="B4" s="271">
        <v>44869</v>
      </c>
      <c r="C4" s="235"/>
      <c r="D4" s="236"/>
      <c r="E4" s="237"/>
      <c r="F4" s="273"/>
      <c r="H4" s="90" t="s">
        <v>1218</v>
      </c>
      <c r="I4" s="90"/>
      <c r="J4" s="34"/>
    </row>
    <row r="5" spans="1:17" ht="21.75" thickBot="1" x14ac:dyDescent="0.25">
      <c r="A5" s="238" t="s">
        <v>266</v>
      </c>
      <c r="B5" s="239">
        <f>I$38</f>
        <v>0</v>
      </c>
      <c r="C5" s="240"/>
      <c r="D5" s="241"/>
      <c r="E5" s="242"/>
      <c r="F5" s="274"/>
      <c r="G5" s="79"/>
      <c r="H5" s="79"/>
      <c r="I5" s="80"/>
      <c r="J5" s="45"/>
    </row>
    <row r="6" spans="1:17" s="66" customFormat="1" ht="32.25" thickBot="1" x14ac:dyDescent="0.25">
      <c r="A6" s="191" t="s">
        <v>11</v>
      </c>
      <c r="B6" s="243" t="s">
        <v>1</v>
      </c>
      <c r="C6" s="243" t="s">
        <v>256</v>
      </c>
      <c r="D6" s="192" t="s">
        <v>0</v>
      </c>
      <c r="E6" s="243" t="s">
        <v>257</v>
      </c>
      <c r="F6" s="243" t="s">
        <v>258</v>
      </c>
      <c r="G6" s="243" t="s">
        <v>259</v>
      </c>
      <c r="H6" s="243" t="s">
        <v>260</v>
      </c>
      <c r="I6" s="244" t="s">
        <v>6</v>
      </c>
      <c r="J6" s="193" t="s">
        <v>261</v>
      </c>
      <c r="K6" s="65"/>
      <c r="L6" s="65"/>
      <c r="M6" s="65"/>
      <c r="N6" s="65"/>
      <c r="O6" s="65"/>
      <c r="P6" s="65"/>
      <c r="Q6" s="65"/>
    </row>
    <row r="7" spans="1:17" ht="21" x14ac:dyDescent="0.2">
      <c r="A7" s="130" t="str">
        <f>IF(C7&lt;&gt;"",1+MAX($A$6:A6),"")</f>
        <v/>
      </c>
      <c r="B7" s="264"/>
      <c r="C7" s="265"/>
      <c r="D7" s="266"/>
      <c r="E7" s="267"/>
      <c r="F7" s="267"/>
      <c r="G7" s="267"/>
      <c r="H7" s="267"/>
      <c r="I7" s="268"/>
      <c r="J7" s="269"/>
    </row>
    <row r="8" spans="1:17" ht="21" x14ac:dyDescent="0.2">
      <c r="A8" s="129" t="str">
        <f>IF(C8&lt;&gt;"",1+MAX($A$6:A7),"")</f>
        <v/>
      </c>
      <c r="B8" s="256" t="s">
        <v>267</v>
      </c>
      <c r="C8" s="257"/>
      <c r="D8" s="257"/>
      <c r="E8" s="254"/>
      <c r="F8" s="254"/>
      <c r="G8" s="254"/>
      <c r="H8" s="254"/>
      <c r="I8" s="258"/>
      <c r="J8" s="213"/>
    </row>
    <row r="9" spans="1:17" ht="21" x14ac:dyDescent="0.2">
      <c r="A9" s="129" t="str">
        <f>IF(C9&lt;&gt;"",1+MAX($A$6:A8),"")</f>
        <v/>
      </c>
      <c r="B9" s="259"/>
      <c r="C9" s="257"/>
      <c r="D9" s="257"/>
      <c r="E9" s="254"/>
      <c r="F9" s="254"/>
      <c r="G9" s="254"/>
      <c r="H9" s="254"/>
      <c r="I9" s="255"/>
      <c r="J9" s="213"/>
    </row>
    <row r="10" spans="1:17" ht="22.5" customHeight="1" x14ac:dyDescent="0.2">
      <c r="A10" s="129">
        <f>IF(C10&lt;&gt;"",1+MAX($A$6:A9),"")</f>
        <v>1</v>
      </c>
      <c r="B10" s="259" t="s">
        <v>268</v>
      </c>
      <c r="C10" s="257">
        <v>2</v>
      </c>
      <c r="D10" s="257" t="s">
        <v>20</v>
      </c>
      <c r="E10" s="254">
        <v>0</v>
      </c>
      <c r="F10" s="254">
        <v>0</v>
      </c>
      <c r="G10" s="255">
        <f t="shared" ref="G10:G21" si="0">E10*C10</f>
        <v>0</v>
      </c>
      <c r="H10" s="255">
        <f t="shared" ref="H10:H21" si="1">F10*C10</f>
        <v>0</v>
      </c>
      <c r="I10" s="255">
        <f t="shared" ref="I10:I21" si="2">H10+G10</f>
        <v>0</v>
      </c>
      <c r="J10" s="270" t="s">
        <v>269</v>
      </c>
    </row>
    <row r="11" spans="1:17" ht="22.5" customHeight="1" x14ac:dyDescent="0.2">
      <c r="A11" s="129">
        <f>IF(C11&lt;&gt;"",1+MAX($A$6:A10),"")</f>
        <v>2</v>
      </c>
      <c r="B11" s="259" t="s">
        <v>270</v>
      </c>
      <c r="C11" s="257">
        <v>5</v>
      </c>
      <c r="D11" s="257" t="s">
        <v>20</v>
      </c>
      <c r="E11" s="254">
        <v>0</v>
      </c>
      <c r="F11" s="254">
        <v>0</v>
      </c>
      <c r="G11" s="255">
        <f t="shared" si="0"/>
        <v>0</v>
      </c>
      <c r="H11" s="255">
        <f t="shared" si="1"/>
        <v>0</v>
      </c>
      <c r="I11" s="255">
        <f t="shared" si="2"/>
        <v>0</v>
      </c>
      <c r="J11" s="270" t="s">
        <v>269</v>
      </c>
    </row>
    <row r="12" spans="1:17" ht="22.5" customHeight="1" x14ac:dyDescent="0.2">
      <c r="A12" s="129">
        <f>IF(C12&lt;&gt;"",1+MAX($A$6:A11),"")</f>
        <v>3</v>
      </c>
      <c r="B12" s="259" t="s">
        <v>271</v>
      </c>
      <c r="C12" s="257">
        <v>11</v>
      </c>
      <c r="D12" s="257" t="s">
        <v>20</v>
      </c>
      <c r="E12" s="254">
        <v>0</v>
      </c>
      <c r="F12" s="254">
        <v>0</v>
      </c>
      <c r="G12" s="255">
        <f t="shared" si="0"/>
        <v>0</v>
      </c>
      <c r="H12" s="255">
        <f t="shared" si="1"/>
        <v>0</v>
      </c>
      <c r="I12" s="255">
        <f t="shared" si="2"/>
        <v>0</v>
      </c>
      <c r="J12" s="270" t="s">
        <v>269</v>
      </c>
    </row>
    <row r="13" spans="1:17" ht="21" x14ac:dyDescent="0.2">
      <c r="A13" s="129">
        <f>IF(C13&lt;&gt;"",1+MAX($A$6:A12),"")</f>
        <v>4</v>
      </c>
      <c r="B13" s="259" t="s">
        <v>272</v>
      </c>
      <c r="C13" s="257">
        <v>13</v>
      </c>
      <c r="D13" s="257" t="s">
        <v>20</v>
      </c>
      <c r="E13" s="254">
        <v>0</v>
      </c>
      <c r="F13" s="254">
        <v>0</v>
      </c>
      <c r="G13" s="255">
        <f t="shared" si="0"/>
        <v>0</v>
      </c>
      <c r="H13" s="255">
        <f t="shared" si="1"/>
        <v>0</v>
      </c>
      <c r="I13" s="255">
        <f t="shared" si="2"/>
        <v>0</v>
      </c>
      <c r="J13" s="270" t="s">
        <v>269</v>
      </c>
    </row>
    <row r="14" spans="1:17" ht="22.5" customHeight="1" x14ac:dyDescent="0.2">
      <c r="A14" s="129">
        <f>IF(C14&lt;&gt;"",1+MAX($A$6:A13),"")</f>
        <v>5</v>
      </c>
      <c r="B14" s="259" t="s">
        <v>273</v>
      </c>
      <c r="C14" s="257">
        <v>5</v>
      </c>
      <c r="D14" s="257" t="s">
        <v>20</v>
      </c>
      <c r="E14" s="254">
        <v>0</v>
      </c>
      <c r="F14" s="254">
        <v>0</v>
      </c>
      <c r="G14" s="255">
        <f t="shared" si="0"/>
        <v>0</v>
      </c>
      <c r="H14" s="255">
        <f t="shared" si="1"/>
        <v>0</v>
      </c>
      <c r="I14" s="255">
        <f t="shared" si="2"/>
        <v>0</v>
      </c>
      <c r="J14" s="270" t="s">
        <v>269</v>
      </c>
    </row>
    <row r="15" spans="1:17" ht="22.5" customHeight="1" x14ac:dyDescent="0.2">
      <c r="A15" s="129">
        <f>IF(C15&lt;&gt;"",1+MAX($A$6:A14),"")</f>
        <v>6</v>
      </c>
      <c r="B15" s="259" t="s">
        <v>274</v>
      </c>
      <c r="C15" s="257">
        <v>2</v>
      </c>
      <c r="D15" s="257" t="s">
        <v>20</v>
      </c>
      <c r="E15" s="254">
        <v>0</v>
      </c>
      <c r="F15" s="254">
        <v>0</v>
      </c>
      <c r="G15" s="255">
        <f t="shared" si="0"/>
        <v>0</v>
      </c>
      <c r="H15" s="255">
        <f t="shared" si="1"/>
        <v>0</v>
      </c>
      <c r="I15" s="255">
        <f t="shared" si="2"/>
        <v>0</v>
      </c>
      <c r="J15" s="270" t="s">
        <v>269</v>
      </c>
    </row>
    <row r="16" spans="1:17" ht="22.5" customHeight="1" x14ac:dyDescent="0.2">
      <c r="A16" s="129">
        <f>IF(C16&lt;&gt;"",1+MAX($A$6:A15),"")</f>
        <v>7</v>
      </c>
      <c r="B16" s="259" t="s">
        <v>275</v>
      </c>
      <c r="C16" s="257">
        <v>4</v>
      </c>
      <c r="D16" s="257" t="s">
        <v>20</v>
      </c>
      <c r="E16" s="254">
        <v>0</v>
      </c>
      <c r="F16" s="254">
        <v>0</v>
      </c>
      <c r="G16" s="255">
        <f t="shared" si="0"/>
        <v>0</v>
      </c>
      <c r="H16" s="255">
        <f t="shared" si="1"/>
        <v>0</v>
      </c>
      <c r="I16" s="255">
        <f t="shared" si="2"/>
        <v>0</v>
      </c>
      <c r="J16" s="270" t="s">
        <v>269</v>
      </c>
    </row>
    <row r="17" spans="1:10" ht="22.5" customHeight="1" x14ac:dyDescent="0.2">
      <c r="A17" s="129">
        <f>IF(C17&lt;&gt;"",1+MAX($A$6:A16),"")</f>
        <v>8</v>
      </c>
      <c r="B17" s="259" t="s">
        <v>276</v>
      </c>
      <c r="C17" s="257">
        <v>2</v>
      </c>
      <c r="D17" s="257" t="s">
        <v>20</v>
      </c>
      <c r="E17" s="254">
        <v>0</v>
      </c>
      <c r="F17" s="254">
        <v>0</v>
      </c>
      <c r="G17" s="255">
        <f t="shared" si="0"/>
        <v>0</v>
      </c>
      <c r="H17" s="255">
        <f t="shared" si="1"/>
        <v>0</v>
      </c>
      <c r="I17" s="255">
        <f t="shared" si="2"/>
        <v>0</v>
      </c>
      <c r="J17" s="270" t="s">
        <v>269</v>
      </c>
    </row>
    <row r="18" spans="1:10" ht="22.5" customHeight="1" x14ac:dyDescent="0.2">
      <c r="A18" s="129">
        <f>IF(C18&lt;&gt;"",1+MAX($A$6:A17),"")</f>
        <v>9</v>
      </c>
      <c r="B18" s="259" t="s">
        <v>277</v>
      </c>
      <c r="C18" s="257">
        <v>1</v>
      </c>
      <c r="D18" s="257" t="s">
        <v>20</v>
      </c>
      <c r="E18" s="254">
        <v>0</v>
      </c>
      <c r="F18" s="254">
        <v>0</v>
      </c>
      <c r="G18" s="255">
        <f>E18*C18</f>
        <v>0</v>
      </c>
      <c r="H18" s="255">
        <f>F18*C18</f>
        <v>0</v>
      </c>
      <c r="I18" s="255">
        <f>H18+G18</f>
        <v>0</v>
      </c>
      <c r="J18" s="270" t="s">
        <v>269</v>
      </c>
    </row>
    <row r="19" spans="1:10" ht="21" x14ac:dyDescent="0.2">
      <c r="A19" s="129">
        <f>IF(C19&lt;&gt;"",1+MAX($A$6:A18),"")</f>
        <v>10</v>
      </c>
      <c r="B19" s="259" t="s">
        <v>278</v>
      </c>
      <c r="C19" s="257">
        <v>1</v>
      </c>
      <c r="D19" s="257" t="s">
        <v>20</v>
      </c>
      <c r="E19" s="254">
        <v>0</v>
      </c>
      <c r="F19" s="254">
        <v>0</v>
      </c>
      <c r="G19" s="255">
        <f>E19*C19</f>
        <v>0</v>
      </c>
      <c r="H19" s="255">
        <f>F19*C19</f>
        <v>0</v>
      </c>
      <c r="I19" s="255">
        <f>H19+G19</f>
        <v>0</v>
      </c>
      <c r="J19" s="270" t="s">
        <v>269</v>
      </c>
    </row>
    <row r="20" spans="1:10" ht="22.5" customHeight="1" x14ac:dyDescent="0.2">
      <c r="A20" s="129">
        <f>IF(C20&lt;&gt;"",1+MAX($A$6:A19),"")</f>
        <v>11</v>
      </c>
      <c r="B20" s="259" t="s">
        <v>279</v>
      </c>
      <c r="C20" s="257">
        <v>17</v>
      </c>
      <c r="D20" s="257" t="s">
        <v>20</v>
      </c>
      <c r="E20" s="254">
        <v>0</v>
      </c>
      <c r="F20" s="254">
        <v>0</v>
      </c>
      <c r="G20" s="255">
        <f>E20*C20</f>
        <v>0</v>
      </c>
      <c r="H20" s="255">
        <f>F20*C20</f>
        <v>0</v>
      </c>
      <c r="I20" s="255">
        <f>H20+G20</f>
        <v>0</v>
      </c>
      <c r="J20" s="270" t="s">
        <v>269</v>
      </c>
    </row>
    <row r="21" spans="1:10" ht="22.5" customHeight="1" x14ac:dyDescent="0.2">
      <c r="A21" s="129">
        <f>IF(C21&lt;&gt;"",1+MAX($A$6:A20),"")</f>
        <v>12</v>
      </c>
      <c r="B21" s="259" t="s">
        <v>280</v>
      </c>
      <c r="C21" s="257">
        <v>51</v>
      </c>
      <c r="D21" s="257" t="s">
        <v>20</v>
      </c>
      <c r="E21" s="254">
        <v>0</v>
      </c>
      <c r="F21" s="254">
        <v>0</v>
      </c>
      <c r="G21" s="255">
        <f t="shared" si="0"/>
        <v>0</v>
      </c>
      <c r="H21" s="255">
        <f t="shared" si="1"/>
        <v>0</v>
      </c>
      <c r="I21" s="255">
        <f t="shared" si="2"/>
        <v>0</v>
      </c>
      <c r="J21" s="270" t="s">
        <v>269</v>
      </c>
    </row>
    <row r="22" spans="1:10" ht="22.5" customHeight="1" x14ac:dyDescent="0.2">
      <c r="A22" s="129">
        <f>IF(C22&lt;&gt;"",1+MAX($A$6:A21),"")</f>
        <v>13</v>
      </c>
      <c r="B22" s="259" t="s">
        <v>281</v>
      </c>
      <c r="C22" s="257">
        <v>58</v>
      </c>
      <c r="D22" s="257" t="s">
        <v>20</v>
      </c>
      <c r="E22" s="254">
        <v>0</v>
      </c>
      <c r="F22" s="254">
        <v>0</v>
      </c>
      <c r="G22" s="255">
        <f>E22*C22</f>
        <v>0</v>
      </c>
      <c r="H22" s="255">
        <f>F22*C22</f>
        <v>0</v>
      </c>
      <c r="I22" s="255">
        <f>H22+G22</f>
        <v>0</v>
      </c>
      <c r="J22" s="270" t="s">
        <v>269</v>
      </c>
    </row>
    <row r="23" spans="1:10" ht="22.5" customHeight="1" x14ac:dyDescent="0.2">
      <c r="A23" s="129">
        <f>IF(C23&lt;&gt;"",1+MAX($A$6:A22),"")</f>
        <v>14</v>
      </c>
      <c r="B23" s="259" t="s">
        <v>282</v>
      </c>
      <c r="C23" s="257">
        <v>6</v>
      </c>
      <c r="D23" s="257" t="s">
        <v>20</v>
      </c>
      <c r="E23" s="254">
        <v>0</v>
      </c>
      <c r="F23" s="254">
        <v>0</v>
      </c>
      <c r="G23" s="255">
        <f>E23*C23</f>
        <v>0</v>
      </c>
      <c r="H23" s="255">
        <f>F23*C23</f>
        <v>0</v>
      </c>
      <c r="I23" s="255">
        <f>H23+G23</f>
        <v>0</v>
      </c>
      <c r="J23" s="270" t="s">
        <v>269</v>
      </c>
    </row>
    <row r="24" spans="1:10" ht="22.5" customHeight="1" x14ac:dyDescent="0.2">
      <c r="A24" s="129">
        <f>IF(C24&lt;&gt;"",1+MAX($A$6:A23),"")</f>
        <v>15</v>
      </c>
      <c r="B24" s="259" t="s">
        <v>283</v>
      </c>
      <c r="C24" s="257">
        <v>1</v>
      </c>
      <c r="D24" s="257" t="s">
        <v>20</v>
      </c>
      <c r="E24" s="254">
        <v>0</v>
      </c>
      <c r="F24" s="254">
        <v>0</v>
      </c>
      <c r="G24" s="255">
        <f>E24*C24</f>
        <v>0</v>
      </c>
      <c r="H24" s="255">
        <f>F24*C24</f>
        <v>0</v>
      </c>
      <c r="I24" s="255">
        <f>H24+G24</f>
        <v>0</v>
      </c>
      <c r="J24" s="270" t="s">
        <v>269</v>
      </c>
    </row>
    <row r="25" spans="1:10" ht="22.5" customHeight="1" x14ac:dyDescent="0.2">
      <c r="A25" s="129">
        <f>IF(C25&lt;&gt;"",1+MAX($A$6:A24),"")</f>
        <v>16</v>
      </c>
      <c r="B25" s="259" t="s">
        <v>284</v>
      </c>
      <c r="C25" s="257">
        <v>10</v>
      </c>
      <c r="D25" s="257" t="s">
        <v>20</v>
      </c>
      <c r="E25" s="254">
        <v>0</v>
      </c>
      <c r="F25" s="254">
        <v>0</v>
      </c>
      <c r="G25" s="255">
        <f>E25*C25</f>
        <v>0</v>
      </c>
      <c r="H25" s="255">
        <f>F25*C25</f>
        <v>0</v>
      </c>
      <c r="I25" s="255">
        <f>H25+G25</f>
        <v>0</v>
      </c>
      <c r="J25" s="270" t="s">
        <v>269</v>
      </c>
    </row>
    <row r="26" spans="1:10" ht="21" x14ac:dyDescent="0.2">
      <c r="A26" s="129">
        <f>IF(C26&lt;&gt;"",1+MAX($A$6:A25),"")</f>
        <v>17</v>
      </c>
      <c r="B26" s="259" t="s">
        <v>285</v>
      </c>
      <c r="C26" s="257">
        <v>24</v>
      </c>
      <c r="D26" s="257" t="s">
        <v>20</v>
      </c>
      <c r="E26" s="254">
        <v>0</v>
      </c>
      <c r="F26" s="254">
        <v>0</v>
      </c>
      <c r="G26" s="255">
        <f t="shared" ref="G26:G30" si="3">E26*C26</f>
        <v>0</v>
      </c>
      <c r="H26" s="255">
        <f t="shared" ref="H26:H30" si="4">F26*C26</f>
        <v>0</v>
      </c>
      <c r="I26" s="255">
        <f t="shared" ref="I26:I30" si="5">H26+G26</f>
        <v>0</v>
      </c>
      <c r="J26" s="270" t="s">
        <v>269</v>
      </c>
    </row>
    <row r="27" spans="1:10" ht="22.5" customHeight="1" x14ac:dyDescent="0.2">
      <c r="A27" s="129">
        <f>IF(C27&lt;&gt;"",1+MAX($A$6:A26),"")</f>
        <v>18</v>
      </c>
      <c r="B27" s="259" t="s">
        <v>286</v>
      </c>
      <c r="C27" s="257">
        <v>102</v>
      </c>
      <c r="D27" s="257" t="s">
        <v>20</v>
      </c>
      <c r="E27" s="254">
        <v>0</v>
      </c>
      <c r="F27" s="254">
        <v>0</v>
      </c>
      <c r="G27" s="255">
        <f t="shared" si="3"/>
        <v>0</v>
      </c>
      <c r="H27" s="255">
        <f t="shared" si="4"/>
        <v>0</v>
      </c>
      <c r="I27" s="255">
        <f t="shared" si="5"/>
        <v>0</v>
      </c>
      <c r="J27" s="270" t="s">
        <v>269</v>
      </c>
    </row>
    <row r="28" spans="1:10" ht="21" x14ac:dyDescent="0.2">
      <c r="A28" s="129">
        <f>IF(C28&lt;&gt;"",1+MAX($A$6:A27),"")</f>
        <v>19</v>
      </c>
      <c r="B28" s="259" t="s">
        <v>287</v>
      </c>
      <c r="C28" s="257">
        <v>9</v>
      </c>
      <c r="D28" s="257" t="s">
        <v>20</v>
      </c>
      <c r="E28" s="254">
        <v>0</v>
      </c>
      <c r="F28" s="254">
        <v>0</v>
      </c>
      <c r="G28" s="255">
        <f t="shared" si="3"/>
        <v>0</v>
      </c>
      <c r="H28" s="255">
        <f t="shared" si="4"/>
        <v>0</v>
      </c>
      <c r="I28" s="255">
        <f t="shared" si="5"/>
        <v>0</v>
      </c>
      <c r="J28" s="270" t="s">
        <v>269</v>
      </c>
    </row>
    <row r="29" spans="1:10" ht="21" x14ac:dyDescent="0.2">
      <c r="A29" s="129">
        <f>IF(C29&lt;&gt;"",1+MAX($A$6:A27),"")</f>
        <v>19</v>
      </c>
      <c r="B29" s="259" t="s">
        <v>288</v>
      </c>
      <c r="C29" s="257">
        <v>3</v>
      </c>
      <c r="D29" s="257" t="s">
        <v>20</v>
      </c>
      <c r="E29" s="254">
        <v>0</v>
      </c>
      <c r="F29" s="254">
        <v>0</v>
      </c>
      <c r="G29" s="255">
        <f t="shared" si="3"/>
        <v>0</v>
      </c>
      <c r="H29" s="255">
        <f t="shared" si="4"/>
        <v>0</v>
      </c>
      <c r="I29" s="255">
        <f t="shared" si="5"/>
        <v>0</v>
      </c>
      <c r="J29" s="270" t="s">
        <v>269</v>
      </c>
    </row>
    <row r="30" spans="1:10" ht="21" x14ac:dyDescent="0.2">
      <c r="A30" s="129">
        <f>IF(C30&lt;&gt;"",1+MAX($A$6:A28),"")</f>
        <v>20</v>
      </c>
      <c r="B30" s="259" t="s">
        <v>289</v>
      </c>
      <c r="C30" s="257">
        <v>14</v>
      </c>
      <c r="D30" s="257" t="s">
        <v>20</v>
      </c>
      <c r="E30" s="254">
        <v>0</v>
      </c>
      <c r="F30" s="254">
        <v>0</v>
      </c>
      <c r="G30" s="255">
        <f t="shared" si="3"/>
        <v>0</v>
      </c>
      <c r="H30" s="255">
        <f t="shared" si="4"/>
        <v>0</v>
      </c>
      <c r="I30" s="255">
        <f t="shared" si="5"/>
        <v>0</v>
      </c>
      <c r="J30" s="270" t="s">
        <v>269</v>
      </c>
    </row>
    <row r="31" spans="1:10" ht="21" x14ac:dyDescent="0.2">
      <c r="A31" s="129" t="str">
        <f>IF(C31&lt;&gt;"",1+MAX($A$6:A30),"")</f>
        <v/>
      </c>
      <c r="B31" s="260"/>
      <c r="C31" s="252"/>
      <c r="D31" s="253"/>
      <c r="E31" s="254"/>
      <c r="F31" s="254"/>
      <c r="G31" s="255"/>
      <c r="H31" s="255"/>
      <c r="I31" s="255"/>
      <c r="J31" s="213"/>
    </row>
    <row r="32" spans="1:10" ht="21" x14ac:dyDescent="0.2">
      <c r="A32" s="129">
        <f>IF(C32&lt;&gt;"",1+MAX($A$6:A31),"")</f>
        <v>21</v>
      </c>
      <c r="B32" s="260" t="s">
        <v>262</v>
      </c>
      <c r="C32" s="257">
        <v>1</v>
      </c>
      <c r="D32" s="253" t="s">
        <v>20</v>
      </c>
      <c r="E32" s="254">
        <v>0</v>
      </c>
      <c r="F32" s="254">
        <v>0</v>
      </c>
      <c r="G32" s="255"/>
      <c r="H32" s="255">
        <f>F32*C32</f>
        <v>0</v>
      </c>
      <c r="I32" s="255">
        <f t="shared" ref="I32" si="6">H32+G32</f>
        <v>0</v>
      </c>
      <c r="J32" s="213"/>
    </row>
    <row r="33" spans="1:10" ht="21" x14ac:dyDescent="0.2">
      <c r="A33" s="129" t="str">
        <f>IF(C33&lt;&gt;"",1+MAX($A$6:A32),"")</f>
        <v/>
      </c>
      <c r="B33" s="251"/>
      <c r="C33" s="252"/>
      <c r="D33" s="253"/>
      <c r="E33" s="254"/>
      <c r="F33" s="254"/>
      <c r="G33" s="255"/>
      <c r="H33" s="255"/>
      <c r="I33" s="255"/>
      <c r="J33" s="213"/>
    </row>
    <row r="34" spans="1:10" ht="21" x14ac:dyDescent="0.2">
      <c r="A34" s="129" t="str">
        <f>IF(C34&lt;&gt;"",1+MAX($A$6:A33),"")</f>
        <v/>
      </c>
      <c r="B34" s="261" t="s">
        <v>263</v>
      </c>
      <c r="C34" s="252"/>
      <c r="D34" s="253"/>
      <c r="E34" s="254"/>
      <c r="F34" s="254"/>
      <c r="G34" s="255"/>
      <c r="H34" s="255"/>
      <c r="I34" s="255"/>
      <c r="J34" s="213"/>
    </row>
    <row r="35" spans="1:10" ht="21" x14ac:dyDescent="0.2">
      <c r="A35" s="129" t="str">
        <f>IF(C35&lt;&gt;"",1+MAX($A$6:A34),"")</f>
        <v/>
      </c>
      <c r="B35" s="251"/>
      <c r="C35" s="252"/>
      <c r="D35" s="253"/>
      <c r="E35" s="254"/>
      <c r="F35" s="254"/>
      <c r="G35" s="262" t="s">
        <v>264</v>
      </c>
      <c r="H35" s="262" t="s">
        <v>265</v>
      </c>
      <c r="I35" s="255"/>
      <c r="J35" s="213"/>
    </row>
    <row r="36" spans="1:10" ht="21.75" thickBot="1" x14ac:dyDescent="0.25">
      <c r="A36" s="214" t="str">
        <f>IF(C36&lt;&gt;"",1+MAX($A$6:A35),"")</f>
        <v/>
      </c>
      <c r="B36" s="279"/>
      <c r="C36" s="280"/>
      <c r="D36" s="281"/>
      <c r="E36" s="282"/>
      <c r="F36" s="282"/>
      <c r="G36" s="283">
        <f>SUM(G6:G33)</f>
        <v>0</v>
      </c>
      <c r="H36" s="283">
        <f>SUM(H6:H33)</f>
        <v>0</v>
      </c>
      <c r="I36" s="284"/>
      <c r="J36" s="285"/>
    </row>
    <row r="37" spans="1:10" ht="21.75" thickBot="1" x14ac:dyDescent="0.25">
      <c r="A37" s="245" t="s">
        <v>449</v>
      </c>
      <c r="B37" s="246"/>
      <c r="C37" s="247"/>
      <c r="D37" s="248"/>
      <c r="E37" s="249"/>
      <c r="F37" s="249"/>
      <c r="G37" s="249"/>
      <c r="H37" s="250">
        <v>0.10249999999999999</v>
      </c>
      <c r="I37" s="276">
        <f>H37*H36</f>
        <v>0</v>
      </c>
      <c r="J37" s="277"/>
    </row>
    <row r="38" spans="1:10" ht="21.75" thickBot="1" x14ac:dyDescent="0.25">
      <c r="A38" s="74" t="s">
        <v>290</v>
      </c>
      <c r="B38" s="75"/>
      <c r="C38" s="76"/>
      <c r="D38" s="77"/>
      <c r="E38" s="78"/>
      <c r="F38" s="78"/>
      <c r="G38" s="78"/>
      <c r="H38" s="78"/>
      <c r="I38" s="275">
        <f>I37+H36+G36</f>
        <v>0</v>
      </c>
      <c r="J38" s="278"/>
    </row>
    <row r="39" spans="1:10" x14ac:dyDescent="0.2">
      <c r="C39" s="28"/>
      <c r="D39" s="29"/>
      <c r="E39" s="30"/>
      <c r="F39" s="30"/>
    </row>
    <row r="40" spans="1:10" x14ac:dyDescent="0.2">
      <c r="D40" s="29"/>
      <c r="E40" s="30"/>
      <c r="F40" s="30"/>
      <c r="G40" s="32"/>
      <c r="H40" s="32"/>
    </row>
    <row r="41" spans="1:10" x14ac:dyDescent="0.2">
      <c r="D41" s="29"/>
      <c r="E41" s="30"/>
      <c r="F41" s="30"/>
      <c r="G41" s="32"/>
      <c r="H41" s="32"/>
    </row>
    <row r="42" spans="1:10" x14ac:dyDescent="0.2">
      <c r="D42" s="29"/>
      <c r="E42" s="30"/>
      <c r="F42" s="30"/>
      <c r="G42" s="32"/>
      <c r="H42" s="32"/>
    </row>
    <row r="43" spans="1:10" x14ac:dyDescent="0.2">
      <c r="D43" s="29"/>
      <c r="E43" s="30"/>
      <c r="F43" s="30"/>
      <c r="G43" s="32"/>
      <c r="H43" s="32"/>
    </row>
    <row r="44" spans="1:10" x14ac:dyDescent="0.2">
      <c r="D44" s="29"/>
      <c r="E44" s="30"/>
      <c r="F44" s="30"/>
      <c r="G44" s="32"/>
      <c r="H44" s="32"/>
    </row>
    <row r="45" spans="1:10" x14ac:dyDescent="0.2">
      <c r="D45" s="29"/>
      <c r="F45" s="32"/>
      <c r="G45" s="32"/>
      <c r="H45" s="32"/>
    </row>
  </sheetData>
  <pageMargins left="0.25" right="0.25" top="0.75" bottom="0.75" header="0.3" footer="0.3"/>
  <pageSetup scale="54" fitToHeight="0" orientation="landscape" r:id="rId1"/>
  <headerFooter>
    <oddHeader>&amp;C
&amp;G</oddHeader>
    <oddFooter>&amp;C&amp;P of &amp;N</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E2084F5-D5E5-45CF-89B6-BBAB9123CAB5}">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BUILDING ESTIMATE</vt:lpstr>
      <vt:lpstr>TRUSSES</vt:lpstr>
      <vt:lpstr>'BUILDING ESTIMATE'!Print_Area</vt:lpstr>
      <vt:lpstr>TRUSSES!Print_Area</vt:lpstr>
      <vt:lpstr>'BUILDING ESTIMATE'!Print_Titles</vt:lpstr>
      <vt:lpstr>TRUSSES!Print_Titles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2013-07-08T09:36:48Z</dcterms:created>
  <dcterms:modified xsi:type="dcterms:W3CDTF">2026-05-08T16:34:22Z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S9Connected">
    <vt:bool>true</vt:bool>
  </property>
  <property fmtid="{D5CDD505-2E9C-101B-9397-08002B2CF9AE}" pid="3" name="PlanSwiftJobName">
    <vt:lpwstr/>
  </property>
  <property fmtid="{D5CDD505-2E9C-101B-9397-08002B2CF9AE}" pid="4" name="PlanSwiftJobGuid">
    <vt:lpwstr/>
  </property>
  <property fmtid="{D5CDD505-2E9C-101B-9397-08002B2CF9AE}" pid="5" name="LinkedDataId">
    <vt:lpwstr>{CE2084F5-D5E5-45CF-89B6-BBAB9123CAB5}</vt:lpwstr>
  </property>
</Properties>
</file>